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Татьяна\Documents\BACKUP\ТАТЬЯНА\ДОГОВОРА\ДОГОВОРА 2026\Тирэкс\Монтаж Протон\"/>
    </mc:Choice>
  </mc:AlternateContent>
  <xr:revisionPtr revIDLastSave="0" documentId="13_ncr:1_{A2756BA9-ECE2-472E-A75A-98A9B1BC18E4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main" sheetId="24110" state="veryHidden" r:id="rId1"/>
    <sheet name="Смета" sheetId="24109" r:id="rId2"/>
  </sheets>
  <definedNames>
    <definedName name="MyRange">#REF!</definedName>
  </definedNames>
  <calcPr calcId="191029"/>
</workbook>
</file>

<file path=xl/calcChain.xml><?xml version="1.0" encoding="utf-8"?>
<calcChain xmlns="http://schemas.openxmlformats.org/spreadsheetml/2006/main">
  <c r="L48" i="24109" l="1"/>
  <c r="E32" i="24109"/>
  <c r="A31" i="24109" s="1"/>
  <c r="H66" i="24109"/>
  <c r="K58" i="24109"/>
  <c r="K59" i="24109" s="1"/>
  <c r="L50" i="24109"/>
  <c r="L49" i="24109"/>
  <c r="A47" i="24109"/>
  <c r="L42" i="24109"/>
  <c r="L43" i="24109" s="1"/>
  <c r="L44" i="24109" s="1"/>
  <c r="L45" i="24109" s="1"/>
  <c r="L46" i="24109" s="1"/>
  <c r="J42" i="24109"/>
  <c r="J43" i="24109" s="1"/>
  <c r="J44" i="24109" s="1"/>
  <c r="J45" i="24109" s="1"/>
  <c r="H35" i="24109"/>
  <c r="H34" i="24109"/>
  <c r="A30" i="24109"/>
  <c r="O25" i="24109"/>
  <c r="N25" i="24109"/>
  <c r="M25" i="24109"/>
  <c r="L25" i="24109" s="1"/>
  <c r="L26" i="24109" s="1"/>
  <c r="L27" i="24109" s="1"/>
  <c r="L28" i="24109" s="1"/>
  <c r="L29" i="24109" s="1"/>
  <c r="L30" i="24109" s="1"/>
  <c r="L31" i="24109" s="1"/>
  <c r="K25" i="24109"/>
  <c r="K26" i="24109" s="1"/>
  <c r="K27" i="24109" s="1"/>
  <c r="K28" i="24109" s="1"/>
  <c r="K29" i="24109" s="1"/>
  <c r="D25" i="24109"/>
  <c r="A25" i="24109"/>
  <c r="D21" i="24109"/>
  <c r="C21" i="24109"/>
  <c r="B21" i="24109"/>
  <c r="K14" i="24109"/>
  <c r="Q59" i="24109" l="1"/>
  <c r="Q17" i="24109" s="1"/>
  <c r="D17" i="24109" s="1"/>
  <c r="F63" i="24109"/>
  <c r="H25" i="24109"/>
  <c r="H26" i="24109" s="1"/>
  <c r="H27" i="24109" s="1"/>
  <c r="H28" i="24109" s="1"/>
  <c r="L47" i="24109"/>
  <c r="L54" i="24109" s="1"/>
  <c r="K18" i="24109" s="1"/>
  <c r="J46" i="24109"/>
  <c r="A46" i="24109"/>
  <c r="A45" i="24109"/>
  <c r="K30" i="24109"/>
  <c r="K31" i="24109" s="1"/>
  <c r="K54" i="24109" s="1"/>
  <c r="I27" i="24109"/>
  <c r="I28" i="24109" s="1"/>
  <c r="I29" i="24109" s="1"/>
  <c r="I30" i="24109" s="1"/>
  <c r="I31" i="24109" s="1"/>
  <c r="J54" i="24109" s="1"/>
  <c r="I25" i="24109"/>
  <c r="I26" i="24109" s="1"/>
  <c r="J25" i="24109"/>
  <c r="J26" i="24109" s="1"/>
  <c r="J27" i="24109" s="1"/>
  <c r="J28" i="24109" s="1"/>
  <c r="J29" i="24109" s="1"/>
  <c r="J30" i="24109" s="1"/>
  <c r="J31" i="24109" s="1"/>
  <c r="G27" i="24109" l="1"/>
  <c r="G25" i="24109"/>
  <c r="F65" i="24109"/>
  <c r="I63" i="24109"/>
  <c r="K63" i="24109" s="1"/>
  <c r="D65" i="24109"/>
  <c r="F64" i="24109"/>
  <c r="D64" i="24109"/>
  <c r="G26" i="24109"/>
  <c r="J47" i="24109"/>
  <c r="B47" i="24109"/>
  <c r="G28" i="24109"/>
  <c r="H29" i="24109"/>
  <c r="J48" i="24109" l="1"/>
  <c r="A48" i="24109"/>
  <c r="G29" i="24109"/>
  <c r="B30" i="24109" s="1"/>
  <c r="H30" i="24109"/>
  <c r="A49" i="24109" l="1"/>
  <c r="J50" i="24109"/>
  <c r="A50" i="24109"/>
  <c r="J49" i="24109"/>
  <c r="A51" i="24109" s="1"/>
  <c r="G30" i="24109"/>
  <c r="H31" i="24109"/>
  <c r="J51" i="24109" l="1"/>
  <c r="P51" i="24109" s="1"/>
  <c r="P18" i="24109" s="1"/>
  <c r="D18" i="24109" s="1"/>
  <c r="G31" i="24109"/>
  <c r="G33" i="24109"/>
  <c r="G54" i="24109" s="1"/>
  <c r="K17" i="24109" s="1"/>
  <c r="A34" i="24109" l="1"/>
  <c r="G35" i="24109"/>
  <c r="I54" i="24109" s="1"/>
  <c r="A35" i="24109"/>
  <c r="G34" i="24109"/>
  <c r="A36" i="24109" l="1"/>
  <c r="H54" i="24109"/>
  <c r="G36" i="24109"/>
  <c r="R36" i="24109" l="1"/>
  <c r="R16" i="24109" s="1"/>
  <c r="D16" i="24109" s="1"/>
  <c r="F62" i="24109"/>
  <c r="E54" i="24109"/>
  <c r="I62" i="24109" l="1"/>
  <c r="K62" i="24109" s="1"/>
  <c r="F66" i="24109"/>
  <c r="I66" i="24109" s="1"/>
  <c r="K66" i="24109" s="1"/>
  <c r="D15" i="24109" l="1"/>
  <c r="D14" i="24109"/>
  <c r="J12" i="24109" s="1"/>
  <c r="I12" i="24109" s="1"/>
  <c r="F14" i="24109" s="1"/>
</calcChain>
</file>

<file path=xl/sharedStrings.xml><?xml version="1.0" encoding="utf-8"?>
<sst xmlns="http://schemas.openxmlformats.org/spreadsheetml/2006/main" count="103" uniqueCount="89">
  <si>
    <t/>
  </si>
  <si>
    <t>ЭМ</t>
  </si>
  <si>
    <t>Наименование работ и затрат</t>
  </si>
  <si>
    <t>Кол-во</t>
  </si>
  <si>
    <t>№</t>
  </si>
  <si>
    <t>Ед.изм.</t>
  </si>
  <si>
    <t>шт.</t>
  </si>
  <si>
    <t>Заказчик</t>
  </si>
  <si>
    <t>Цены поставщика оборудования</t>
  </si>
  <si>
    <t>*</t>
  </si>
  <si>
    <t>Цены завода-изготовителя</t>
  </si>
  <si>
    <t>Цена</t>
  </si>
  <si>
    <t xml:space="preserve">Подрядчик </t>
  </si>
  <si>
    <t>Ставка НДС</t>
  </si>
  <si>
    <t xml:space="preserve">Сумма НДС </t>
  </si>
  <si>
    <t xml:space="preserve"> Стоимость без НДС</t>
  </si>
  <si>
    <t>ИТОГИ ПО СМЕТЕ  :</t>
  </si>
  <si>
    <t>Стоимость (руб)</t>
  </si>
  <si>
    <t xml:space="preserve">Стоимость материальных ресурсов по разделу без НДС = </t>
  </si>
  <si>
    <t>НР</t>
  </si>
  <si>
    <t>СП</t>
  </si>
  <si>
    <t>ФОТ</t>
  </si>
  <si>
    <t>Стоимость на ед.изм.</t>
  </si>
  <si>
    <t>ЗП</t>
  </si>
  <si>
    <t xml:space="preserve">Сводная таблица сметных затрат  </t>
  </si>
  <si>
    <r>
      <t xml:space="preserve">Ind= </t>
    </r>
    <r>
      <rPr>
        <b/>
        <i/>
        <sz val="10"/>
        <rFont val="Arial Narrow"/>
        <family val="2"/>
        <charset val="204"/>
      </rPr>
      <t>►</t>
    </r>
  </si>
  <si>
    <t>Всего по смете</t>
  </si>
  <si>
    <t>С учетом районного коэффициента =</t>
  </si>
  <si>
    <t>МАТ</t>
  </si>
  <si>
    <t>должность, фамилия и.о., подпись</t>
  </si>
  <si>
    <t xml:space="preserve">ТЗ </t>
  </si>
  <si>
    <t>Единица измерения</t>
  </si>
  <si>
    <t xml:space="preserve">ОЗП </t>
  </si>
  <si>
    <t xml:space="preserve">ЭМ </t>
  </si>
  <si>
    <t xml:space="preserve"> ЗПМ</t>
  </si>
  <si>
    <t xml:space="preserve">МАТ </t>
  </si>
  <si>
    <t>С учетом особых условий производства работ (ОЗП, ЗПМ)  х</t>
  </si>
  <si>
    <t xml:space="preserve">    С учетом стесненных условий работ (ОЗП, ЗПМ)  х</t>
  </si>
  <si>
    <t xml:space="preserve">           </t>
  </si>
  <si>
    <t xml:space="preserve"> Коэффициенты пересчета базовых цен на   </t>
  </si>
  <si>
    <t>Всего</t>
  </si>
  <si>
    <r>
      <t xml:space="preserve">ТЗ </t>
    </r>
    <r>
      <rPr>
        <sz val="8"/>
        <color indexed="8"/>
        <rFont val="Arial Cyr"/>
        <charset val="204"/>
      </rPr>
      <t>(</t>
    </r>
    <r>
      <rPr>
        <i/>
        <sz val="8"/>
        <color indexed="8"/>
        <rFont val="Arial Cyr"/>
        <charset val="204"/>
      </rPr>
      <t>чел-ч</t>
    </r>
    <r>
      <rPr>
        <sz val="8"/>
        <color indexed="8"/>
        <rFont val="Arial Cyr"/>
        <charset val="204"/>
      </rPr>
      <t>)</t>
    </r>
  </si>
  <si>
    <r>
      <t>ТЗ</t>
    </r>
    <r>
      <rPr>
        <sz val="8"/>
        <rFont val="Arial Cyr"/>
        <charset val="204"/>
      </rPr>
      <t/>
    </r>
  </si>
  <si>
    <t>Раздел:  Материальные ресурсы, не учтенные в ценниках:</t>
  </si>
  <si>
    <t>Сметная стоимость работ без учета оборудования =</t>
  </si>
  <si>
    <t>Сметная стоимость, (руб) =</t>
  </si>
  <si>
    <t xml:space="preserve">ОБОСНО-ВАНИЕ </t>
  </si>
  <si>
    <t>Количество</t>
  </si>
  <si>
    <t>С учетом районного коэффициента  (ОЗП, ЗПМ)  х</t>
  </si>
  <si>
    <r>
      <t>Итого прямые затраты на оплату труда в уровне базовых цен 2000г</t>
    </r>
    <r>
      <rPr>
        <sz val="6"/>
        <rFont val="Arial Cyr"/>
        <charset val="204"/>
      </rPr>
      <t xml:space="preserve">  </t>
    </r>
    <r>
      <rPr>
        <sz val="9"/>
        <rFont val="Arial CYR"/>
        <family val="2"/>
        <charset val="204"/>
      </rPr>
      <t xml:space="preserve">= </t>
    </r>
  </si>
  <si>
    <r>
      <t xml:space="preserve"> Материальные ресурсы</t>
    </r>
    <r>
      <rPr>
        <sz val="9.5"/>
        <rFont val="Arial Cyr"/>
        <charset val="204"/>
      </rPr>
      <t xml:space="preserve">, не учтенные в ценниках =   </t>
    </r>
  </si>
  <si>
    <t xml:space="preserve">                         Итого прямые затраты в уровне базовых цен 2000г. = (ОЗП + ЭМ + МАТ)</t>
  </si>
  <si>
    <t>Наименование</t>
  </si>
  <si>
    <r>
      <t>ЗП</t>
    </r>
    <r>
      <rPr>
        <sz val="9"/>
        <color indexed="8"/>
        <rFont val="Arial Cyr"/>
        <charset val="204"/>
      </rPr>
      <t xml:space="preserve"> </t>
    </r>
    <r>
      <rPr>
        <b/>
        <sz val="9"/>
        <color indexed="8"/>
        <rFont val="Arial Cyr"/>
        <charset val="204"/>
      </rPr>
      <t>+ НР + СП</t>
    </r>
  </si>
  <si>
    <t>№
пп</t>
  </si>
  <si>
    <r>
      <t xml:space="preserve">Цена за единицу
</t>
    </r>
    <r>
      <rPr>
        <b/>
        <sz val="9"/>
        <rFont val="Arial Cyr"/>
        <charset val="204"/>
      </rPr>
      <t>Общая стоимость</t>
    </r>
    <r>
      <rPr>
        <sz val="9"/>
        <rFont val="Arial Cyr"/>
        <charset val="204"/>
      </rPr>
      <t xml:space="preserve">                                                    </t>
    </r>
  </si>
  <si>
    <r>
      <t>ТЗ на ед</t>
    </r>
    <r>
      <rPr>
        <sz val="8.5"/>
        <rFont val="Arial Cyr"/>
        <charset val="204"/>
      </rPr>
      <t xml:space="preserve">.
</t>
    </r>
    <r>
      <rPr>
        <b/>
        <i/>
        <sz val="9"/>
        <rFont val="Arial Cyr"/>
        <charset val="204"/>
      </rPr>
      <t xml:space="preserve">ТЗ всего
</t>
    </r>
    <r>
      <rPr>
        <sz val="9"/>
        <rFont val="Arial Cyr"/>
        <charset val="204"/>
      </rPr>
      <t>(</t>
    </r>
    <r>
      <rPr>
        <b/>
        <sz val="9"/>
        <rFont val="Arial Cyr"/>
        <charset val="204"/>
      </rPr>
      <t>чел-ч</t>
    </r>
    <r>
      <rPr>
        <sz val="9"/>
        <rFont val="Arial Cyr"/>
        <charset val="204"/>
      </rPr>
      <t>)</t>
    </r>
  </si>
  <si>
    <t xml:space="preserve">в т. ч. фонд оплаты труда (ФОТ) = ОЗП+ЗПМ =   </t>
  </si>
  <si>
    <t>Приложение № 2
Утверждено приказом № 421 от 4 августа 2020 г. Минстроя РФ</t>
  </si>
  <si>
    <t>(наименование стройки)</t>
  </si>
  <si>
    <t>(наименование объекта капитального строительства)</t>
  </si>
  <si>
    <t>(наименование конструктивного решения)</t>
  </si>
  <si>
    <t>Основание</t>
  </si>
  <si>
    <t>(проектная и (или) иная техническая документация)</t>
  </si>
  <si>
    <t>в том числе:</t>
  </si>
  <si>
    <t>руб.</t>
  </si>
  <si>
    <t>Нормативные затраты труда рабочих и машинистов</t>
  </si>
  <si>
    <t>чел.час.</t>
  </si>
  <si>
    <t xml:space="preserve">                       СМР</t>
  </si>
  <si>
    <t>Средства на оплату труда рабочих и машинистов</t>
  </si>
  <si>
    <t xml:space="preserve">Оборудование  </t>
  </si>
  <si>
    <t xml:space="preserve">Пусконаладка  </t>
  </si>
  <si>
    <t xml:space="preserve">Сметная стоимость </t>
  </si>
  <si>
    <t>Раздел: Электромонтажные работы по Сб.ФЕРм-2001/2020 в текущей редакции</t>
  </si>
  <si>
    <t>10-08-001-04</t>
  </si>
  <si>
    <t>Прибор ПС на 4 луча</t>
  </si>
  <si>
    <t>шт</t>
  </si>
  <si>
    <t>Раздел : Пусконаладочные работы по Сб. ФЕРп-2001/2020 в текущей редакции</t>
  </si>
  <si>
    <t>01-01-004</t>
  </si>
  <si>
    <t>ППКОП, до 4-х ШС.</t>
  </si>
  <si>
    <t>ППКП_ПОО "Протон"</t>
  </si>
  <si>
    <t>ЛОКАЛЬНЫЙ СМЕТНЫЙ РАСЧЕТ (СМЕТА) №  ЛС-22</t>
  </si>
  <si>
    <t>Наименование редакции сметных нормативов -  ФСНБ-2020 в текущей редакции по состоянию на 19.02.2026
Наименование программного продукта - Сметная программа XLinkSE-Universal</t>
  </si>
  <si>
    <t>Составлен(а) базисно-индексным методом  в текущем  уровне цен по состоянию на 19.02.2026</t>
  </si>
  <si>
    <t>Акт обследования</t>
  </si>
  <si>
    <t xml:space="preserve">Отделение временного проживания Южноуральского центра социального обслуживания, находящийся по адресу: 457040, Челябинская обл., г. Южноуральск, ул. Советская, д. 1 «А» </t>
  </si>
  <si>
    <t>Монтаж и наладка ППКП/ПОО "Протон" передачи сигнала о пожаре</t>
  </si>
  <si>
    <t>Договор подряда (контракт) № МПС-651 от 25.02.2026 г.</t>
  </si>
  <si>
    <t>Директор Южноуральского центра социального обслуживания                           О.А. Варзегова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</si>
</sst>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р_._-;\-* #,##0.00_р_._-;_-* &quot;-&quot;??_р_._-;_-@_-"/>
    <numFmt numFmtId="165" formatCode="0.0"/>
    <numFmt numFmtId="166" formatCode="0.000"/>
    <numFmt numFmtId="167" formatCode="#,##0.000"/>
    <numFmt numFmtId="168" formatCode="#,##0.0000"/>
    <numFmt numFmtId="169" formatCode="0.0##%"/>
    <numFmt numFmtId="170" formatCode="0.0#%"/>
  </numFmts>
  <fonts count="65" x14ac:knownFonts="1">
    <font>
      <sz val="10"/>
      <name val="Arial Cyr"/>
      <charset val="204"/>
    </font>
    <font>
      <sz val="10"/>
      <name val="Arial Cyr"/>
      <charset val="204"/>
    </font>
    <font>
      <b/>
      <i/>
      <sz val="10"/>
      <name val="Arial Cyr"/>
      <charset val="204"/>
    </font>
    <font>
      <sz val="8"/>
      <name val="Arial CYR"/>
      <family val="2"/>
      <charset val="204"/>
    </font>
    <font>
      <b/>
      <sz val="9"/>
      <name val="Arial Cyr"/>
      <family val="2"/>
      <charset val="204"/>
    </font>
    <font>
      <b/>
      <sz val="10"/>
      <name val="Arial Cyr"/>
      <charset val="204"/>
    </font>
    <font>
      <b/>
      <sz val="9"/>
      <color indexed="8"/>
      <name val="Arial Cyr"/>
      <family val="2"/>
      <charset val="204"/>
    </font>
    <font>
      <sz val="9"/>
      <name val="Arial Cyr"/>
      <charset val="204"/>
    </font>
    <font>
      <sz val="9"/>
      <name val="Arial CYR"/>
      <family val="2"/>
      <charset val="204"/>
    </font>
    <font>
      <b/>
      <sz val="9"/>
      <name val="Arial Cyr"/>
      <charset val="204"/>
    </font>
    <font>
      <b/>
      <sz val="10"/>
      <name val="Arial Cyr"/>
      <family val="2"/>
      <charset val="204"/>
    </font>
    <font>
      <b/>
      <i/>
      <sz val="9"/>
      <name val="Arial Cyr"/>
      <family val="2"/>
      <charset val="204"/>
    </font>
    <font>
      <sz val="8"/>
      <name val="Arial Cyr"/>
      <charset val="204"/>
    </font>
    <font>
      <shadow/>
      <sz val="9"/>
      <name val="Arial Cyr"/>
      <charset val="204"/>
    </font>
    <font>
      <sz val="10"/>
      <name val="Arial Cyr"/>
      <family val="2"/>
      <charset val="204"/>
    </font>
    <font>
      <b/>
      <i/>
      <sz val="9"/>
      <name val="Arial Cyr"/>
      <charset val="204"/>
    </font>
    <font>
      <b/>
      <sz val="9"/>
      <color indexed="8"/>
      <name val="Arial Cyr"/>
      <charset val="204"/>
    </font>
    <font>
      <b/>
      <i/>
      <sz val="10"/>
      <name val="Arial Narrow"/>
      <family val="2"/>
      <charset val="204"/>
    </font>
    <font>
      <b/>
      <sz val="10"/>
      <name val="Arial Narrow"/>
      <family val="2"/>
      <charset val="204"/>
    </font>
    <font>
      <b/>
      <sz val="9"/>
      <name val="Arial Narrow"/>
      <family val="2"/>
      <charset val="204"/>
    </font>
    <font>
      <b/>
      <sz val="10"/>
      <name val="Arial"/>
      <family val="2"/>
      <charset val="204"/>
    </font>
    <font>
      <sz val="10"/>
      <color indexed="10"/>
      <name val="Arial Cyr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9.5"/>
      <name val="Arial Cyr"/>
      <charset val="204"/>
    </font>
    <font>
      <b/>
      <sz val="9.5"/>
      <name val="Arial Narrow"/>
      <family val="2"/>
      <charset val="204"/>
    </font>
    <font>
      <b/>
      <sz val="9.5"/>
      <name val="Arial Narrow"/>
      <family val="2"/>
    </font>
    <font>
      <sz val="7"/>
      <name val="Arial Cyr"/>
      <charset val="204"/>
    </font>
    <font>
      <b/>
      <sz val="10"/>
      <name val="Arial Narrow"/>
      <family val="2"/>
    </font>
    <font>
      <b/>
      <sz val="10"/>
      <color indexed="9"/>
      <name val="Arial Narrow"/>
      <family val="2"/>
      <charset val="204"/>
    </font>
    <font>
      <sz val="9.5"/>
      <name val="Arial Cyr"/>
      <charset val="204"/>
    </font>
    <font>
      <i/>
      <sz val="10"/>
      <name val="Arial"/>
      <family val="2"/>
      <charset val="204"/>
    </font>
    <font>
      <sz val="9"/>
      <color indexed="8"/>
      <name val="Arial Cyr"/>
      <charset val="204"/>
    </font>
    <font>
      <sz val="10"/>
      <color indexed="9"/>
      <name val="Arial Cyr"/>
      <family val="2"/>
      <charset val="204"/>
    </font>
    <font>
      <sz val="9"/>
      <color indexed="9"/>
      <name val="Arial Cyr"/>
      <family val="2"/>
      <charset val="204"/>
    </font>
    <font>
      <sz val="10"/>
      <color indexed="43"/>
      <name val="Arial Cyr"/>
      <charset val="204"/>
    </font>
    <font>
      <b/>
      <sz val="9.5"/>
      <color indexed="10"/>
      <name val="Arial Narrow"/>
      <family val="2"/>
      <charset val="204"/>
    </font>
    <font>
      <sz val="9.5"/>
      <name val="Arial Narrow"/>
      <family val="2"/>
      <charset val="204"/>
    </font>
    <font>
      <sz val="8.5"/>
      <name val="Arial Cyr"/>
      <charset val="204"/>
    </font>
    <font>
      <b/>
      <sz val="10"/>
      <color indexed="8"/>
      <name val="Arial Narrow"/>
      <family val="2"/>
    </font>
    <font>
      <i/>
      <sz val="9"/>
      <name val="Arial Cyr"/>
      <family val="2"/>
      <charset val="204"/>
    </font>
    <font>
      <sz val="9.5"/>
      <color indexed="8"/>
      <name val="Arial Cyr"/>
      <charset val="204"/>
    </font>
    <font>
      <i/>
      <sz val="8"/>
      <color indexed="8"/>
      <name val="Arial Cyr"/>
      <charset val="204"/>
    </font>
    <font>
      <sz val="8"/>
      <color indexed="8"/>
      <name val="Arial Cyr"/>
      <charset val="204"/>
    </font>
    <font>
      <b/>
      <sz val="9.5"/>
      <name val="Arial Cyr"/>
      <charset val="204"/>
    </font>
    <font>
      <b/>
      <sz val="9"/>
      <color indexed="9"/>
      <name val="Arial"/>
      <family val="2"/>
      <charset val="204"/>
    </font>
    <font>
      <sz val="6"/>
      <name val="Arial Cyr"/>
      <charset val="204"/>
    </font>
    <font>
      <b/>
      <sz val="8"/>
      <name val="Arial"/>
      <family val="2"/>
    </font>
    <font>
      <sz val="8"/>
      <name val="Arial"/>
      <family val="2"/>
    </font>
    <font>
      <b/>
      <i/>
      <sz val="10"/>
      <color indexed="9"/>
      <name val="Arial"/>
      <family val="2"/>
      <charset val="204"/>
    </font>
    <font>
      <sz val="8"/>
      <color indexed="9"/>
      <name val="Arial Cyr"/>
      <charset val="204"/>
    </font>
    <font>
      <sz val="8"/>
      <color indexed="9"/>
      <name val="Arial"/>
      <family val="2"/>
      <charset val="204"/>
    </font>
    <font>
      <sz val="8"/>
      <color indexed="12"/>
      <name val="Arial Cyr"/>
      <charset val="204"/>
    </font>
    <font>
      <sz val="10"/>
      <name val="Arial Cyr"/>
      <charset val="204"/>
    </font>
    <font>
      <b/>
      <sz val="8"/>
      <name val="Arial CYR"/>
      <charset val="204"/>
    </font>
    <font>
      <b/>
      <sz val="8"/>
      <name val="Arial Cyr"/>
      <family val="2"/>
      <charset val="204"/>
    </font>
    <font>
      <sz val="8"/>
      <color rgb="FF000000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theme="0"/>
      <name val="Arial"/>
      <family val="2"/>
      <charset val="204"/>
    </font>
    <font>
      <b/>
      <sz val="8"/>
      <color theme="0"/>
      <name val="Arial"/>
      <family val="2"/>
      <charset val="204"/>
    </font>
    <font>
      <i/>
      <sz val="8"/>
      <color theme="0"/>
      <name val="Arial"/>
      <family val="2"/>
      <charset val="204"/>
    </font>
    <font>
      <b/>
      <sz val="14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</patternFill>
    </fill>
    <fill>
      <patternFill patternType="solid">
        <fgColor indexed="26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9" fontId="5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4" fillId="0" borderId="0" applyFont="0" applyFill="0" applyBorder="0" applyAlignment="0" applyProtection="0"/>
  </cellStyleXfs>
  <cellXfs count="310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2" fontId="15" fillId="3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horizontal="right" vertical="center"/>
    </xf>
    <xf numFmtId="0" fontId="9" fillId="0" borderId="3" xfId="0" applyFont="1" applyBorder="1" applyAlignment="1">
      <alignment horizontal="center" vertical="center" wrapText="1"/>
    </xf>
    <xf numFmtId="0" fontId="0" fillId="3" borderId="0" xfId="0" applyFill="1" applyAlignment="1">
      <alignment horizontal="right" wrapText="1"/>
    </xf>
    <xf numFmtId="0" fontId="12" fillId="3" borderId="0" xfId="0" applyFont="1" applyFill="1" applyAlignment="1">
      <alignment vertical="top"/>
    </xf>
    <xf numFmtId="0" fontId="0" fillId="3" borderId="0" xfId="0" applyFill="1" applyAlignment="1">
      <alignment horizontal="center" wrapText="1"/>
    </xf>
    <xf numFmtId="2" fontId="9" fillId="0" borderId="4" xfId="0" applyNumberFormat="1" applyFont="1" applyBorder="1" applyAlignment="1">
      <alignment horizontal="center" vertical="center" wrapText="1"/>
    </xf>
    <xf numFmtId="0" fontId="0" fillId="3" borderId="5" xfId="0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2" fontId="18" fillId="2" borderId="1" xfId="0" applyNumberFormat="1" applyFont="1" applyFill="1" applyBorder="1" applyAlignment="1">
      <alignment horizontal="center" vertical="center"/>
    </xf>
    <xf numFmtId="2" fontId="18" fillId="2" borderId="2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right" vertical="center" indent="2"/>
    </xf>
    <xf numFmtId="0" fontId="8" fillId="3" borderId="0" xfId="0" applyFont="1" applyFill="1" applyAlignment="1">
      <alignment horizontal="center" vertical="center"/>
    </xf>
    <xf numFmtId="2" fontId="18" fillId="3" borderId="0" xfId="0" applyNumberFormat="1" applyFont="1" applyFill="1" applyAlignment="1">
      <alignment horizontal="center" vertical="center"/>
    </xf>
    <xf numFmtId="2" fontId="19" fillId="3" borderId="0" xfId="0" applyNumberFormat="1" applyFont="1" applyFill="1" applyAlignment="1">
      <alignment horizontal="center" vertical="center"/>
    </xf>
    <xf numFmtId="4" fontId="18" fillId="3" borderId="8" xfId="0" applyNumberFormat="1" applyFont="1" applyFill="1" applyBorder="1" applyAlignment="1">
      <alignment horizontal="center" vertical="center" wrapText="1"/>
    </xf>
    <xf numFmtId="2" fontId="26" fillId="0" borderId="1" xfId="0" applyNumberFormat="1" applyFont="1" applyBorder="1" applyAlignment="1">
      <alignment horizontal="center" vertical="center"/>
    </xf>
    <xf numFmtId="0" fontId="24" fillId="3" borderId="9" xfId="0" applyFont="1" applyFill="1" applyBorder="1" applyAlignment="1">
      <alignment horizontal="right" vertical="center" wrapText="1"/>
    </xf>
    <xf numFmtId="0" fontId="22" fillId="3" borderId="10" xfId="0" applyFont="1" applyFill="1" applyBorder="1" applyAlignment="1">
      <alignment horizontal="left" vertical="top" wrapText="1"/>
    </xf>
    <xf numFmtId="49" fontId="5" fillId="3" borderId="11" xfId="0" applyNumberFormat="1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 wrapText="1"/>
    </xf>
    <xf numFmtId="4" fontId="18" fillId="3" borderId="0" xfId="0" applyNumberFormat="1" applyFont="1" applyFill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4" fontId="18" fillId="3" borderId="16" xfId="0" applyNumberFormat="1" applyFont="1" applyFill="1" applyBorder="1" applyAlignment="1">
      <alignment horizontal="center" vertical="center"/>
    </xf>
    <xf numFmtId="4" fontId="18" fillId="3" borderId="17" xfId="0" applyNumberFormat="1" applyFont="1" applyFill="1" applyBorder="1" applyAlignment="1">
      <alignment horizontal="center" vertical="center"/>
    </xf>
    <xf numFmtId="4" fontId="18" fillId="3" borderId="0" xfId="0" applyNumberFormat="1" applyFont="1" applyFill="1" applyAlignment="1">
      <alignment horizontal="center" vertical="center"/>
    </xf>
    <xf numFmtId="1" fontId="0" fillId="5" borderId="2" xfId="0" applyNumberFormat="1" applyFill="1" applyBorder="1" applyAlignment="1">
      <alignment horizontal="centerContinuous" vertical="center"/>
    </xf>
    <xf numFmtId="39" fontId="1" fillId="4" borderId="1" xfId="0" applyNumberFormat="1" applyFont="1" applyFill="1" applyBorder="1" applyAlignment="1">
      <alignment horizontal="centerContinuous" vertical="center"/>
    </xf>
    <xf numFmtId="2" fontId="1" fillId="5" borderId="18" xfId="0" applyNumberFormat="1" applyFont="1" applyFill="1" applyBorder="1" applyAlignment="1">
      <alignment horizontal="centerContinuous" vertical="center"/>
    </xf>
    <xf numFmtId="2" fontId="1" fillId="5" borderId="19" xfId="0" applyNumberFormat="1" applyFont="1" applyFill="1" applyBorder="1" applyAlignment="1">
      <alignment horizontal="center" vertical="center"/>
    </xf>
    <xf numFmtId="39" fontId="18" fillId="2" borderId="1" xfId="0" applyNumberFormat="1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left" vertical="top" wrapText="1"/>
    </xf>
    <xf numFmtId="2" fontId="4" fillId="3" borderId="11" xfId="0" applyNumberFormat="1" applyFont="1" applyFill="1" applyBorder="1" applyAlignment="1">
      <alignment horizontal="left" vertical="center"/>
    </xf>
    <xf numFmtId="4" fontId="26" fillId="3" borderId="9" xfId="0" applyNumberFormat="1" applyFont="1" applyFill="1" applyBorder="1" applyAlignment="1">
      <alignment horizontal="center" vertical="center"/>
    </xf>
    <xf numFmtId="4" fontId="26" fillId="0" borderId="1" xfId="0" applyNumberFormat="1" applyFont="1" applyBorder="1" applyAlignment="1">
      <alignment horizontal="center" vertical="center"/>
    </xf>
    <xf numFmtId="4" fontId="26" fillId="0" borderId="1" xfId="0" applyNumberFormat="1" applyFont="1" applyBorder="1" applyAlignment="1">
      <alignment horizontal="center" vertical="center" wrapText="1"/>
    </xf>
    <xf numFmtId="4" fontId="18" fillId="0" borderId="11" xfId="0" applyNumberFormat="1" applyFont="1" applyBorder="1" applyAlignment="1">
      <alignment horizontal="center" vertical="center"/>
    </xf>
    <xf numFmtId="4" fontId="18" fillId="0" borderId="11" xfId="0" applyNumberFormat="1" applyFont="1" applyBorder="1" applyAlignment="1">
      <alignment horizontal="center" vertical="center" wrapText="1"/>
    </xf>
    <xf numFmtId="4" fontId="13" fillId="3" borderId="0" xfId="0" applyNumberFormat="1" applyFont="1" applyFill="1" applyAlignment="1">
      <alignment horizontal="left" vertical="center"/>
    </xf>
    <xf numFmtId="4" fontId="26" fillId="3" borderId="9" xfId="3" applyNumberFormat="1" applyFont="1" applyFill="1" applyBorder="1" applyAlignment="1">
      <alignment horizontal="center" vertical="center"/>
    </xf>
    <xf numFmtId="4" fontId="26" fillId="3" borderId="1" xfId="0" applyNumberFormat="1" applyFont="1" applyFill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2" fontId="9" fillId="0" borderId="20" xfId="0" applyNumberFormat="1" applyFont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wrapText="1"/>
    </xf>
    <xf numFmtId="9" fontId="5" fillId="3" borderId="11" xfId="0" applyNumberFormat="1" applyFont="1" applyFill="1" applyBorder="1" applyAlignment="1">
      <alignment horizontal="center" vertical="center" wrapText="1"/>
    </xf>
    <xf numFmtId="9" fontId="30" fillId="3" borderId="0" xfId="0" applyNumberFormat="1" applyFont="1" applyFill="1" applyAlignment="1">
      <alignment horizontal="center" vertical="center" wrapText="1"/>
    </xf>
    <xf numFmtId="9" fontId="30" fillId="3" borderId="0" xfId="0" applyNumberFormat="1" applyFont="1" applyFill="1" applyAlignment="1">
      <alignment horizontal="center" vertical="center"/>
    </xf>
    <xf numFmtId="9" fontId="30" fillId="3" borderId="1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5" fillId="3" borderId="0" xfId="0" applyFont="1" applyFill="1" applyAlignment="1">
      <alignment horizontal="right" vertical="center"/>
    </xf>
    <xf numFmtId="2" fontId="20" fillId="3" borderId="0" xfId="0" applyNumberFormat="1" applyFont="1" applyFill="1" applyAlignment="1">
      <alignment horizontal="center" vertical="center"/>
    </xf>
    <xf numFmtId="2" fontId="20" fillId="3" borderId="0" xfId="0" applyNumberFormat="1" applyFont="1" applyFill="1" applyAlignment="1">
      <alignment horizontal="right" vertical="center"/>
    </xf>
    <xf numFmtId="4" fontId="27" fillId="0" borderId="1" xfId="0" applyNumberFormat="1" applyFont="1" applyBorder="1" applyAlignment="1">
      <alignment horizontal="center" vertical="center"/>
    </xf>
    <xf numFmtId="4" fontId="27" fillId="0" borderId="1" xfId="0" applyNumberFormat="1" applyFont="1" applyBorder="1" applyAlignment="1">
      <alignment horizontal="center" vertical="center" wrapText="1"/>
    </xf>
    <xf numFmtId="4" fontId="29" fillId="0" borderId="11" xfId="0" applyNumberFormat="1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31" fillId="3" borderId="0" xfId="0" applyFont="1" applyFill="1" applyAlignment="1">
      <alignment horizontal="center" vertical="center"/>
    </xf>
    <xf numFmtId="0" fontId="31" fillId="3" borderId="0" xfId="0" applyFont="1" applyFill="1" applyAlignment="1">
      <alignment horizontal="left" vertical="center"/>
    </xf>
    <xf numFmtId="0" fontId="31" fillId="3" borderId="0" xfId="0" applyFont="1" applyFill="1" applyAlignment="1">
      <alignment horizontal="center" vertical="center" wrapText="1"/>
    </xf>
    <xf numFmtId="0" fontId="31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right" vertical="center" wrapText="1"/>
    </xf>
    <xf numFmtId="0" fontId="8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center" vertical="center" wrapText="1"/>
    </xf>
    <xf numFmtId="2" fontId="7" fillId="3" borderId="0" xfId="0" applyNumberFormat="1" applyFont="1" applyFill="1" applyAlignment="1">
      <alignment horizontal="right" vertical="center"/>
    </xf>
    <xf numFmtId="39" fontId="7" fillId="3" borderId="0" xfId="0" applyNumberFormat="1" applyFont="1" applyFill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4" fontId="7" fillId="3" borderId="0" xfId="0" applyNumberFormat="1" applyFont="1" applyFill="1" applyAlignment="1">
      <alignment horizontal="right" vertical="center"/>
    </xf>
    <xf numFmtId="0" fontId="14" fillId="3" borderId="22" xfId="0" applyFont="1" applyFill="1" applyBorder="1" applyAlignment="1">
      <alignment horizontal="right" vertical="center" wrapText="1"/>
    </xf>
    <xf numFmtId="0" fontId="8" fillId="3" borderId="22" xfId="0" applyFont="1" applyFill="1" applyBorder="1" applyAlignment="1">
      <alignment horizontal="left" vertical="center"/>
    </xf>
    <xf numFmtId="0" fontId="8" fillId="3" borderId="22" xfId="0" applyFont="1" applyFill="1" applyBorder="1" applyAlignment="1">
      <alignment horizontal="center" vertical="center" wrapText="1"/>
    </xf>
    <xf numFmtId="2" fontId="7" fillId="3" borderId="22" xfId="0" applyNumberFormat="1" applyFont="1" applyFill="1" applyBorder="1" applyAlignment="1">
      <alignment horizontal="right" vertical="center"/>
    </xf>
    <xf numFmtId="39" fontId="7" fillId="3" borderId="22" xfId="0" applyNumberFormat="1" applyFont="1" applyFill="1" applyBorder="1" applyAlignment="1">
      <alignment horizontal="right" vertical="center"/>
    </xf>
    <xf numFmtId="0" fontId="7" fillId="3" borderId="22" xfId="0" applyFont="1" applyFill="1" applyBorder="1" applyAlignment="1">
      <alignment horizontal="center" vertical="center"/>
    </xf>
    <xf numFmtId="2" fontId="1" fillId="3" borderId="22" xfId="0" applyNumberFormat="1" applyFont="1" applyFill="1" applyBorder="1" applyAlignment="1">
      <alignment horizontal="right" vertical="center"/>
    </xf>
    <xf numFmtId="0" fontId="7" fillId="3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0" fontId="34" fillId="0" borderId="2" xfId="0" applyNumberFormat="1" applyFont="1" applyBorder="1" applyAlignment="1">
      <alignment horizontal="center" wrapText="1"/>
    </xf>
    <xf numFmtId="0" fontId="21" fillId="3" borderId="0" xfId="0" applyFont="1" applyFill="1" applyAlignment="1">
      <alignment horizontal="center" vertical="center" wrapText="1"/>
    </xf>
    <xf numFmtId="0" fontId="31" fillId="3" borderId="0" xfId="0" applyFont="1" applyFill="1" applyAlignment="1">
      <alignment vertical="center" wrapText="1"/>
    </xf>
    <xf numFmtId="1" fontId="21" fillId="3" borderId="13" xfId="0" applyNumberFormat="1" applyFont="1" applyFill="1" applyBorder="1" applyAlignment="1">
      <alignment horizontal="center" vertical="center" wrapText="1"/>
    </xf>
    <xf numFmtId="4" fontId="38" fillId="3" borderId="10" xfId="0" applyNumberFormat="1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right" wrapText="1"/>
    </xf>
    <xf numFmtId="0" fontId="3" fillId="3" borderId="0" xfId="0" applyFont="1" applyFill="1" applyAlignment="1">
      <alignment horizontal="left"/>
    </xf>
    <xf numFmtId="4" fontId="38" fillId="3" borderId="24" xfId="0" applyNumberFormat="1" applyFont="1" applyFill="1" applyBorder="1" applyAlignment="1">
      <alignment horizontal="center" vertical="center" wrapText="1"/>
    </xf>
    <xf numFmtId="4" fontId="26" fillId="3" borderId="21" xfId="0" applyNumberFormat="1" applyFont="1" applyFill="1" applyBorder="1" applyAlignment="1">
      <alignment horizontal="center" vertical="center"/>
    </xf>
    <xf numFmtId="4" fontId="20" fillId="3" borderId="0" xfId="0" applyNumberFormat="1" applyFont="1" applyFill="1" applyAlignment="1">
      <alignment vertical="center"/>
    </xf>
    <xf numFmtId="4" fontId="5" fillId="3" borderId="0" xfId="0" applyNumberFormat="1" applyFont="1" applyFill="1" applyAlignment="1">
      <alignment horizontal="center" vertical="center"/>
    </xf>
    <xf numFmtId="2" fontId="32" fillId="3" borderId="0" xfId="0" applyNumberFormat="1" applyFont="1" applyFill="1" applyAlignment="1">
      <alignment vertical="center"/>
    </xf>
    <xf numFmtId="4" fontId="1" fillId="3" borderId="0" xfId="0" applyNumberFormat="1" applyFont="1" applyFill="1" applyAlignment="1">
      <alignment horizontal="center" vertical="top" wrapText="1"/>
    </xf>
    <xf numFmtId="4" fontId="4" fillId="3" borderId="0" xfId="0" applyNumberFormat="1" applyFont="1" applyFill="1" applyAlignment="1">
      <alignment horizontal="center" wrapText="1"/>
    </xf>
    <xf numFmtId="2" fontId="4" fillId="0" borderId="11" xfId="0" applyNumberFormat="1" applyFont="1" applyBorder="1" applyAlignment="1">
      <alignment horizontal="left" vertical="center"/>
    </xf>
    <xf numFmtId="10" fontId="35" fillId="0" borderId="2" xfId="0" applyNumberFormat="1" applyFont="1" applyBorder="1" applyAlignment="1">
      <alignment vertical="center"/>
    </xf>
    <xf numFmtId="0" fontId="35" fillId="0" borderId="0" xfId="0" applyFont="1" applyAlignment="1">
      <alignment vertical="center"/>
    </xf>
    <xf numFmtId="0" fontId="0" fillId="3" borderId="0" xfId="0" applyFill="1" applyAlignment="1">
      <alignment vertical="center"/>
    </xf>
    <xf numFmtId="4" fontId="23" fillId="3" borderId="25" xfId="0" applyNumberFormat="1" applyFont="1" applyFill="1" applyBorder="1" applyAlignment="1">
      <alignment horizontal="center" vertical="center"/>
    </xf>
    <xf numFmtId="4" fontId="26" fillId="3" borderId="1" xfId="0" applyNumberFormat="1" applyFont="1" applyFill="1" applyBorder="1" applyAlignment="1">
      <alignment horizontal="center" vertical="center"/>
    </xf>
    <xf numFmtId="0" fontId="42" fillId="3" borderId="23" xfId="0" applyFont="1" applyFill="1" applyBorder="1" applyAlignment="1">
      <alignment horizontal="right" vertical="center" indent="1"/>
    </xf>
    <xf numFmtId="0" fontId="31" fillId="3" borderId="0" xfId="0" applyFont="1" applyFill="1" applyAlignment="1">
      <alignment horizontal="right" vertical="center" indent="1"/>
    </xf>
    <xf numFmtId="0" fontId="2" fillId="3" borderId="0" xfId="0" applyFont="1" applyFill="1" applyAlignment="1">
      <alignment horizontal="right" vertical="center" indent="1"/>
    </xf>
    <xf numFmtId="168" fontId="18" fillId="0" borderId="2" xfId="0" applyNumberFormat="1" applyFont="1" applyBorder="1" applyAlignment="1">
      <alignment horizontal="center" vertical="center" wrapText="1"/>
    </xf>
    <xf numFmtId="4" fontId="1" fillId="3" borderId="15" xfId="0" applyNumberFormat="1" applyFont="1" applyFill="1" applyBorder="1" applyAlignment="1">
      <alignment vertical="center" wrapText="1"/>
    </xf>
    <xf numFmtId="167" fontId="46" fillId="3" borderId="0" xfId="0" applyNumberFormat="1" applyFont="1" applyFill="1" applyAlignment="1">
      <alignment horizontal="center" vertical="center"/>
    </xf>
    <xf numFmtId="2" fontId="9" fillId="3" borderId="11" xfId="0" applyNumberFormat="1" applyFont="1" applyFill="1" applyBorder="1" applyAlignment="1">
      <alignment horizontal="left" vertical="center"/>
    </xf>
    <xf numFmtId="2" fontId="8" fillId="2" borderId="1" xfId="0" applyNumberFormat="1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/>
    </xf>
    <xf numFmtId="49" fontId="9" fillId="6" borderId="10" xfId="0" applyNumberFormat="1" applyFont="1" applyFill="1" applyBorder="1" applyAlignment="1">
      <alignment horizontal="center" vertical="center" wrapText="1"/>
    </xf>
    <xf numFmtId="49" fontId="5" fillId="6" borderId="10" xfId="0" applyNumberFormat="1" applyFont="1" applyFill="1" applyBorder="1" applyAlignment="1">
      <alignment horizontal="center" vertical="center" wrapText="1"/>
    </xf>
    <xf numFmtId="0" fontId="36" fillId="6" borderId="13" xfId="0" applyFont="1" applyFill="1" applyBorder="1" applyAlignment="1">
      <alignment horizontal="center"/>
    </xf>
    <xf numFmtId="0" fontId="7" fillId="6" borderId="9" xfId="0" applyFont="1" applyFill="1" applyBorder="1" applyAlignment="1">
      <alignment vertical="center"/>
    </xf>
    <xf numFmtId="49" fontId="6" fillId="6" borderId="21" xfId="0" applyNumberFormat="1" applyFont="1" applyFill="1" applyBorder="1" applyAlignment="1">
      <alignment horizontal="center" vertical="center"/>
    </xf>
    <xf numFmtId="49" fontId="9" fillId="6" borderId="1" xfId="0" applyNumberFormat="1" applyFont="1" applyFill="1" applyBorder="1" applyAlignment="1">
      <alignment horizontal="center" vertical="center"/>
    </xf>
    <xf numFmtId="49" fontId="4" fillId="6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2" fontId="24" fillId="0" borderId="13" xfId="0" applyNumberFormat="1" applyFont="1" applyBorder="1" applyAlignment="1">
      <alignment vertical="center"/>
    </xf>
    <xf numFmtId="165" fontId="24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169" fontId="4" fillId="3" borderId="11" xfId="0" applyNumberFormat="1" applyFont="1" applyFill="1" applyBorder="1" applyAlignment="1">
      <alignment horizontal="left" vertical="center"/>
    </xf>
    <xf numFmtId="169" fontId="4" fillId="3" borderId="26" xfId="0" applyNumberFormat="1" applyFont="1" applyFill="1" applyBorder="1" applyAlignment="1">
      <alignment horizontal="left" vertical="center"/>
    </xf>
    <xf numFmtId="166" fontId="4" fillId="3" borderId="11" xfId="0" applyNumberFormat="1" applyFont="1" applyFill="1" applyBorder="1" applyAlignment="1">
      <alignment horizontal="left" vertical="center" wrapText="1"/>
    </xf>
    <xf numFmtId="169" fontId="23" fillId="3" borderId="11" xfId="1" applyNumberFormat="1" applyFont="1" applyFill="1" applyBorder="1" applyAlignment="1">
      <alignment horizontal="left" vertical="center" shrinkToFit="1"/>
    </xf>
    <xf numFmtId="170" fontId="31" fillId="3" borderId="0" xfId="0" applyNumberFormat="1" applyFont="1" applyFill="1" applyAlignment="1">
      <alignment horizontal="left" vertical="center" wrapText="1"/>
    </xf>
    <xf numFmtId="1" fontId="7" fillId="2" borderId="27" xfId="0" applyNumberFormat="1" applyFont="1" applyFill="1" applyBorder="1" applyAlignment="1">
      <alignment horizontal="center" vertical="center"/>
    </xf>
    <xf numFmtId="39" fontId="22" fillId="2" borderId="27" xfId="0" applyNumberFormat="1" applyFont="1" applyFill="1" applyBorder="1" applyAlignment="1">
      <alignment horizontal="center" vertical="center"/>
    </xf>
    <xf numFmtId="2" fontId="18" fillId="2" borderId="27" xfId="0" applyNumberFormat="1" applyFont="1" applyFill="1" applyBorder="1" applyAlignment="1">
      <alignment horizontal="right" vertical="center" indent="1"/>
    </xf>
    <xf numFmtId="4" fontId="18" fillId="2" borderId="27" xfId="0" applyNumberFormat="1" applyFont="1" applyFill="1" applyBorder="1" applyAlignment="1">
      <alignment horizontal="right" vertical="center"/>
    </xf>
    <xf numFmtId="4" fontId="30" fillId="3" borderId="0" xfId="0" applyNumberFormat="1" applyFont="1" applyFill="1" applyAlignment="1">
      <alignment horizontal="center" vertical="center" wrapText="1"/>
    </xf>
    <xf numFmtId="4" fontId="50" fillId="3" borderId="0" xfId="0" applyNumberFormat="1" applyFont="1" applyFill="1" applyAlignment="1">
      <alignment horizontal="center" vertical="center" wrapText="1"/>
    </xf>
    <xf numFmtId="4" fontId="52" fillId="3" borderId="13" xfId="0" applyNumberFormat="1" applyFont="1" applyFill="1" applyBorder="1" applyAlignment="1">
      <alignment vertical="center"/>
    </xf>
    <xf numFmtId="0" fontId="51" fillId="3" borderId="0" xfId="0" applyFont="1" applyFill="1" applyAlignment="1">
      <alignment horizontal="center" wrapText="1"/>
    </xf>
    <xf numFmtId="13" fontId="28" fillId="3" borderId="0" xfId="0" applyNumberFormat="1" applyFont="1" applyFill="1" applyAlignment="1">
      <alignment horizontal="right" vertical="center" wrapText="1"/>
    </xf>
    <xf numFmtId="4" fontId="0" fillId="0" borderId="0" xfId="0" applyNumberFormat="1" applyAlignment="1">
      <alignment horizontal="center" vertical="center"/>
    </xf>
    <xf numFmtId="0" fontId="57" fillId="0" borderId="0" xfId="0" applyFont="1"/>
    <xf numFmtId="0" fontId="57" fillId="0" borderId="0" xfId="0" applyFont="1" applyAlignment="1">
      <alignment vertical="top" wrapText="1"/>
    </xf>
    <xf numFmtId="0" fontId="57" fillId="0" borderId="0" xfId="0" applyFont="1" applyAlignment="1">
      <alignment wrapText="1"/>
    </xf>
    <xf numFmtId="0" fontId="58" fillId="0" borderId="0" xfId="0" applyFont="1"/>
    <xf numFmtId="3" fontId="57" fillId="0" borderId="0" xfId="0" applyNumberFormat="1" applyFont="1" applyAlignment="1">
      <alignment horizontal="right" vertical="top"/>
    </xf>
    <xf numFmtId="0" fontId="57" fillId="0" borderId="0" xfId="0" applyFont="1" applyAlignment="1">
      <alignment vertical="center" wrapText="1"/>
    </xf>
    <xf numFmtId="0" fontId="57" fillId="0" borderId="0" xfId="0" applyFont="1" applyAlignment="1">
      <alignment horizontal="left" vertical="top"/>
    </xf>
    <xf numFmtId="0" fontId="57" fillId="0" borderId="0" xfId="0" applyFont="1" applyAlignment="1">
      <alignment horizontal="left" vertical="center"/>
    </xf>
    <xf numFmtId="2" fontId="57" fillId="0" borderId="15" xfId="0" applyNumberFormat="1" applyFont="1" applyBorder="1" applyAlignment="1">
      <alignment horizontal="right"/>
    </xf>
    <xf numFmtId="0" fontId="57" fillId="0" borderId="0" xfId="0" applyFont="1" applyAlignment="1">
      <alignment horizontal="left"/>
    </xf>
    <xf numFmtId="49" fontId="57" fillId="0" borderId="0" xfId="0" applyNumberFormat="1" applyFont="1" applyAlignment="1">
      <alignment horizontal="left" vertical="center"/>
    </xf>
    <xf numFmtId="2" fontId="57" fillId="0" borderId="0" xfId="0" applyNumberFormat="1" applyFont="1" applyAlignment="1">
      <alignment horizontal="right"/>
    </xf>
    <xf numFmtId="0" fontId="59" fillId="0" borderId="0" xfId="0" applyFont="1"/>
    <xf numFmtId="4" fontId="0" fillId="0" borderId="0" xfId="0" applyNumberFormat="1"/>
    <xf numFmtId="49" fontId="60" fillId="0" borderId="0" xfId="0" applyNumberFormat="1" applyFont="1" applyAlignment="1">
      <alignment horizontal="right"/>
    </xf>
    <xf numFmtId="4" fontId="57" fillId="0" borderId="12" xfId="0" applyNumberFormat="1" applyFont="1" applyBorder="1" applyAlignment="1">
      <alignment horizontal="right" vertical="center"/>
    </xf>
    <xf numFmtId="4" fontId="57" fillId="0" borderId="29" xfId="0" applyNumberFormat="1" applyFont="1" applyBorder="1" applyAlignment="1">
      <alignment horizontal="right" vertical="center"/>
    </xf>
    <xf numFmtId="4" fontId="0" fillId="0" borderId="0" xfId="0" applyNumberFormat="1" applyAlignment="1">
      <alignment vertical="center"/>
    </xf>
    <xf numFmtId="0" fontId="59" fillId="0" borderId="0" xfId="0" applyFont="1" applyAlignment="1">
      <alignment wrapText="1"/>
    </xf>
    <xf numFmtId="0" fontId="55" fillId="2" borderId="0" xfId="0" applyFont="1" applyFill="1" applyAlignment="1">
      <alignment horizontal="left"/>
    </xf>
    <xf numFmtId="0" fontId="61" fillId="0" borderId="0" xfId="0" applyFont="1"/>
    <xf numFmtId="0" fontId="62" fillId="0" borderId="0" xfId="0" applyFont="1"/>
    <xf numFmtId="3" fontId="59" fillId="0" borderId="0" xfId="0" applyNumberFormat="1" applyFont="1" applyAlignment="1">
      <alignment horizontal="right"/>
    </xf>
    <xf numFmtId="0" fontId="55" fillId="2" borderId="0" xfId="0" applyFont="1" applyFill="1"/>
    <xf numFmtId="4" fontId="56" fillId="2" borderId="12" xfId="0" applyNumberFormat="1" applyFont="1" applyFill="1" applyBorder="1" applyAlignment="1">
      <alignment horizontal="right"/>
    </xf>
    <xf numFmtId="0" fontId="57" fillId="0" borderId="0" xfId="0" applyFont="1" applyAlignment="1">
      <alignment horizontal="center"/>
    </xf>
    <xf numFmtId="0" fontId="57" fillId="0" borderId="0" xfId="0" applyFont="1" applyAlignment="1">
      <alignment horizontal="center" vertical="center"/>
    </xf>
    <xf numFmtId="9" fontId="51" fillId="0" borderId="0" xfId="0" applyNumberFormat="1" applyFont="1" applyAlignment="1">
      <alignment horizontal="left" vertical="center"/>
    </xf>
    <xf numFmtId="9" fontId="53" fillId="0" borderId="0" xfId="0" applyNumberFormat="1" applyFont="1" applyAlignment="1">
      <alignment horizontal="left" vertical="center"/>
    </xf>
    <xf numFmtId="0" fontId="12" fillId="3" borderId="15" xfId="0" applyFont="1" applyFill="1" applyBorder="1" applyAlignment="1">
      <alignment horizontal="center" vertical="top"/>
    </xf>
    <xf numFmtId="0" fontId="9" fillId="3" borderId="2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vertical="center" shrinkToFit="1"/>
    </xf>
    <xf numFmtId="4" fontId="5" fillId="3" borderId="11" xfId="0" applyNumberFormat="1" applyFont="1" applyFill="1" applyBorder="1" applyAlignment="1">
      <alignment horizontal="center" vertical="center" shrinkToFit="1"/>
    </xf>
    <xf numFmtId="0" fontId="0" fillId="3" borderId="0" xfId="0" applyFill="1" applyAlignment="1">
      <alignment horizontal="right" wrapText="1"/>
    </xf>
    <xf numFmtId="0" fontId="0" fillId="3" borderId="0" xfId="0" applyFill="1" applyAlignment="1">
      <alignment horizontal="left" wrapText="1"/>
    </xf>
    <xf numFmtId="2" fontId="37" fillId="3" borderId="0" xfId="0" applyNumberFormat="1" applyFont="1" applyFill="1" applyAlignment="1">
      <alignment horizontal="center" vertical="center" wrapText="1"/>
    </xf>
    <xf numFmtId="4" fontId="40" fillId="3" borderId="36" xfId="0" applyNumberFormat="1" applyFont="1" applyFill="1" applyBorder="1" applyAlignment="1">
      <alignment horizontal="center" vertical="center" wrapText="1"/>
    </xf>
    <xf numFmtId="4" fontId="40" fillId="3" borderId="37" xfId="0" applyNumberFormat="1" applyFont="1" applyFill="1" applyBorder="1" applyAlignment="1">
      <alignment horizontal="center" vertical="center" wrapText="1"/>
    </xf>
    <xf numFmtId="4" fontId="30" fillId="3" borderId="0" xfId="0" applyNumberFormat="1" applyFont="1" applyFill="1" applyAlignment="1">
      <alignment horizontal="center" vertical="center" shrinkToFit="1"/>
    </xf>
    <xf numFmtId="4" fontId="30" fillId="3" borderId="0" xfId="0" applyNumberFormat="1" applyFont="1" applyFill="1" applyAlignment="1">
      <alignment horizontal="center" vertical="center" wrapText="1"/>
    </xf>
    <xf numFmtId="4" fontId="29" fillId="3" borderId="38" xfId="0" applyNumberFormat="1" applyFont="1" applyFill="1" applyBorder="1" applyAlignment="1">
      <alignment horizontal="center" vertical="center" wrapText="1"/>
    </xf>
    <xf numFmtId="4" fontId="29" fillId="3" borderId="39" xfId="0" applyNumberFormat="1" applyFont="1" applyFill="1" applyBorder="1" applyAlignment="1">
      <alignment horizontal="center" vertical="center" wrapText="1"/>
    </xf>
    <xf numFmtId="4" fontId="30" fillId="3" borderId="0" xfId="0" applyNumberFormat="1" applyFont="1" applyFill="1" applyAlignment="1">
      <alignment horizontal="center" vertical="center"/>
    </xf>
    <xf numFmtId="4" fontId="29" fillId="3" borderId="31" xfId="0" applyNumberFormat="1" applyFont="1" applyFill="1" applyBorder="1" applyAlignment="1">
      <alignment horizontal="center" vertical="center"/>
    </xf>
    <xf numFmtId="4" fontId="29" fillId="3" borderId="32" xfId="0" applyNumberFormat="1" applyFont="1" applyFill="1" applyBorder="1" applyAlignment="1">
      <alignment horizontal="center" vertical="center"/>
    </xf>
    <xf numFmtId="4" fontId="30" fillId="3" borderId="12" xfId="0" applyNumberFormat="1" applyFont="1" applyFill="1" applyBorder="1" applyAlignment="1">
      <alignment horizontal="center" vertical="center"/>
    </xf>
    <xf numFmtId="4" fontId="30" fillId="3" borderId="12" xfId="0" applyNumberFormat="1" applyFont="1" applyFill="1" applyBorder="1" applyAlignment="1">
      <alignment horizontal="center" vertical="center" wrapText="1"/>
    </xf>
    <xf numFmtId="4" fontId="29" fillId="3" borderId="33" xfId="0" applyNumberFormat="1" applyFont="1" applyFill="1" applyBorder="1" applyAlignment="1">
      <alignment horizontal="center" vertical="center"/>
    </xf>
    <xf numFmtId="4" fontId="29" fillId="3" borderId="34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2" fontId="8" fillId="3" borderId="41" xfId="0" applyNumberFormat="1" applyFont="1" applyFill="1" applyBorder="1" applyAlignment="1">
      <alignment horizontal="left" vertical="center" wrapText="1" readingOrder="1"/>
    </xf>
    <xf numFmtId="0" fontId="0" fillId="0" borderId="42" xfId="0" applyBorder="1" applyAlignment="1">
      <alignment horizontal="left" vertical="center" wrapText="1" readingOrder="1"/>
    </xf>
    <xf numFmtId="0" fontId="0" fillId="0" borderId="43" xfId="0" applyBorder="1" applyAlignment="1">
      <alignment horizontal="left" vertical="center" wrapText="1" readingOrder="1"/>
    </xf>
    <xf numFmtId="4" fontId="18" fillId="2" borderId="27" xfId="0" applyNumberFormat="1" applyFont="1" applyFill="1" applyBorder="1" applyAlignment="1">
      <alignment horizontal="right" vertical="center" indent="1"/>
    </xf>
    <xf numFmtId="4" fontId="18" fillId="3" borderId="22" xfId="0" applyNumberFormat="1" applyFont="1" applyFill="1" applyBorder="1" applyAlignment="1">
      <alignment horizontal="right" vertical="center" inden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8" fillId="3" borderId="2" xfId="0" applyFont="1" applyFill="1" applyBorder="1" applyAlignment="1">
      <alignment horizontal="right" vertical="center"/>
    </xf>
    <xf numFmtId="0" fontId="8" fillId="3" borderId="29" xfId="0" applyFont="1" applyFill="1" applyBorder="1" applyAlignment="1">
      <alignment horizontal="right" vertical="center"/>
    </xf>
    <xf numFmtId="4" fontId="18" fillId="0" borderId="40" xfId="0" applyNumberFormat="1" applyFont="1" applyBorder="1" applyAlignment="1">
      <alignment horizontal="center" vertical="center" wrapText="1"/>
    </xf>
    <xf numFmtId="4" fontId="18" fillId="0" borderId="26" xfId="0" applyNumberFormat="1" applyFont="1" applyBorder="1" applyAlignment="1">
      <alignment horizontal="center" vertical="center" wrapText="1"/>
    </xf>
    <xf numFmtId="0" fontId="25" fillId="0" borderId="23" xfId="0" applyFont="1" applyBorder="1" applyAlignment="1">
      <alignment horizontal="right" vertical="center" wrapText="1" indent="2"/>
    </xf>
    <xf numFmtId="0" fontId="25" fillId="0" borderId="5" xfId="0" applyFont="1" applyBorder="1" applyAlignment="1">
      <alignment horizontal="right" vertical="center" wrapText="1" indent="2"/>
    </xf>
    <xf numFmtId="4" fontId="45" fillId="0" borderId="6" xfId="0" applyNumberFormat="1" applyFont="1" applyBorder="1" applyAlignment="1">
      <alignment horizontal="center" vertical="center" wrapText="1"/>
    </xf>
    <xf numFmtId="4" fontId="45" fillId="0" borderId="3" xfId="0" applyNumberFormat="1" applyFont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4" fontId="18" fillId="3" borderId="35" xfId="0" applyNumberFormat="1" applyFont="1" applyFill="1" applyBorder="1" applyAlignment="1">
      <alignment horizontal="center" vertical="center"/>
    </xf>
    <xf numFmtId="4" fontId="18" fillId="3" borderId="16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2" fontId="7" fillId="4" borderId="2" xfId="0" applyNumberFormat="1" applyFont="1" applyFill="1" applyBorder="1" applyAlignment="1">
      <alignment horizontal="center" vertical="center"/>
    </xf>
    <xf numFmtId="2" fontId="7" fillId="4" borderId="29" xfId="0" applyNumberFormat="1" applyFont="1" applyFill="1" applyBorder="1" applyAlignment="1">
      <alignment horizontal="center" vertical="center"/>
    </xf>
    <xf numFmtId="2" fontId="7" fillId="4" borderId="11" xfId="0" applyNumberFormat="1" applyFont="1" applyFill="1" applyBorder="1" applyAlignment="1">
      <alignment horizontal="center" vertical="center"/>
    </xf>
    <xf numFmtId="2" fontId="1" fillId="5" borderId="2" xfId="0" applyNumberFormat="1" applyFont="1" applyFill="1" applyBorder="1" applyAlignment="1">
      <alignment horizontal="center" vertical="center"/>
    </xf>
    <xf numFmtId="2" fontId="1" fillId="5" borderId="11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right" vertical="center"/>
    </xf>
    <xf numFmtId="0" fontId="7" fillId="3" borderId="29" xfId="0" applyFont="1" applyFill="1" applyBorder="1" applyAlignment="1">
      <alignment horizontal="right" vertical="center"/>
    </xf>
    <xf numFmtId="0" fontId="7" fillId="3" borderId="11" xfId="0" applyFont="1" applyFill="1" applyBorder="1" applyAlignment="1">
      <alignment horizontal="right" vertical="center"/>
    </xf>
    <xf numFmtId="0" fontId="24" fillId="3" borderId="0" xfId="0" applyFont="1" applyFill="1" applyAlignment="1">
      <alignment horizontal="right" vertical="center"/>
    </xf>
    <xf numFmtId="0" fontId="24" fillId="3" borderId="14" xfId="0" applyFont="1" applyFill="1" applyBorder="1" applyAlignment="1">
      <alignment horizontal="right" vertical="center"/>
    </xf>
    <xf numFmtId="4" fontId="11" fillId="3" borderId="0" xfId="0" applyNumberFormat="1" applyFont="1" applyFill="1" applyAlignment="1">
      <alignment horizontal="right" vertical="center" wrapText="1"/>
    </xf>
    <xf numFmtId="4" fontId="41" fillId="3" borderId="0" xfId="0" applyNumberFormat="1" applyFont="1" applyFill="1" applyAlignment="1">
      <alignment horizontal="right" vertical="center" wrapText="1"/>
    </xf>
    <xf numFmtId="0" fontId="14" fillId="6" borderId="10" xfId="0" applyFont="1" applyFill="1" applyBorder="1" applyAlignment="1">
      <alignment horizontal="center" vertical="center" wrapText="1"/>
    </xf>
    <xf numFmtId="0" fontId="14" fillId="6" borderId="9" xfId="0" applyFont="1" applyFill="1" applyBorder="1" applyAlignment="1">
      <alignment horizontal="center" vertical="center" wrapText="1"/>
    </xf>
    <xf numFmtId="0" fontId="49" fillId="6" borderId="24" xfId="0" applyFont="1" applyFill="1" applyBorder="1" applyAlignment="1">
      <alignment horizontal="center" vertical="center" wrapText="1"/>
    </xf>
    <xf numFmtId="0" fontId="49" fillId="6" borderId="30" xfId="0" applyFont="1" applyFill="1" applyBorder="1" applyAlignment="1">
      <alignment horizontal="center" vertical="center" wrapText="1"/>
    </xf>
    <xf numFmtId="0" fontId="49" fillId="6" borderId="21" xfId="0" applyFont="1" applyFill="1" applyBorder="1" applyAlignment="1">
      <alignment horizontal="center" vertical="center" wrapText="1"/>
    </xf>
    <xf numFmtId="0" fontId="49" fillId="6" borderId="28" xfId="0" applyFont="1" applyFill="1" applyBorder="1" applyAlignment="1">
      <alignment horizontal="center" vertical="center" wrapText="1"/>
    </xf>
    <xf numFmtId="0" fontId="8" fillId="6" borderId="24" xfId="0" applyFont="1" applyFill="1" applyBorder="1" applyAlignment="1">
      <alignment horizontal="center" vertical="center" wrapText="1"/>
    </xf>
    <xf numFmtId="0" fontId="8" fillId="6" borderId="30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8" fillId="6" borderId="28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8" fillId="6" borderId="9" xfId="0" applyFont="1" applyFill="1" applyBorder="1"/>
    <xf numFmtId="0" fontId="7" fillId="6" borderId="2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14" fillId="6" borderId="29" xfId="0" applyFont="1" applyFill="1" applyBorder="1"/>
    <xf numFmtId="0" fontId="14" fillId="6" borderId="11" xfId="0" applyFont="1" applyFill="1" applyBorder="1"/>
    <xf numFmtId="0" fontId="16" fillId="6" borderId="2" xfId="0" applyFont="1" applyFill="1" applyBorder="1" applyAlignment="1">
      <alignment horizontal="center" vertical="center"/>
    </xf>
    <xf numFmtId="0" fontId="16" fillId="6" borderId="11" xfId="0" applyFont="1" applyFill="1" applyBorder="1" applyAlignment="1">
      <alignment horizontal="center" vertical="center"/>
    </xf>
    <xf numFmtId="0" fontId="57" fillId="0" borderId="0" xfId="0" applyFont="1" applyAlignment="1">
      <alignment horizontal="right" vertical="top" wrapText="1"/>
    </xf>
    <xf numFmtId="0" fontId="57" fillId="0" borderId="0" xfId="0" applyFont="1" applyAlignment="1">
      <alignment horizontal="left" vertical="center" wrapText="1"/>
    </xf>
    <xf numFmtId="0" fontId="57" fillId="0" borderId="0" xfId="0" applyFont="1" applyAlignment="1">
      <alignment horizontal="center"/>
    </xf>
    <xf numFmtId="0" fontId="57" fillId="0" borderId="12" xfId="0" applyFont="1" applyBorder="1" applyAlignment="1">
      <alignment horizontal="center" wrapText="1"/>
    </xf>
    <xf numFmtId="0" fontId="59" fillId="0" borderId="0" xfId="0" applyFont="1" applyAlignment="1">
      <alignment horizontal="center" wrapText="1"/>
    </xf>
    <xf numFmtId="49" fontId="48" fillId="6" borderId="24" xfId="0" applyNumberFormat="1" applyFont="1" applyFill="1" applyBorder="1" applyAlignment="1">
      <alignment horizontal="center" vertical="center" wrapText="1"/>
    </xf>
    <xf numFmtId="49" fontId="48" fillId="6" borderId="30" xfId="0" applyNumberFormat="1" applyFont="1" applyFill="1" applyBorder="1" applyAlignment="1">
      <alignment horizontal="center" vertical="center" wrapText="1"/>
    </xf>
    <xf numFmtId="49" fontId="7" fillId="6" borderId="2" xfId="0" applyNumberFormat="1" applyFont="1" applyFill="1" applyBorder="1" applyAlignment="1">
      <alignment horizontal="center" vertical="center" wrapText="1"/>
    </xf>
    <xf numFmtId="49" fontId="7" fillId="6" borderId="29" xfId="0" applyNumberFormat="1" applyFont="1" applyFill="1" applyBorder="1" applyAlignment="1">
      <alignment horizontal="center" vertical="center" wrapText="1"/>
    </xf>
    <xf numFmtId="49" fontId="7" fillId="6" borderId="10" xfId="0" applyNumberFormat="1" applyFont="1" applyFill="1" applyBorder="1" applyAlignment="1">
      <alignment horizontal="center" vertical="center" wrapText="1"/>
    </xf>
    <xf numFmtId="49" fontId="39" fillId="6" borderId="9" xfId="0" applyNumberFormat="1" applyFont="1" applyFill="1" applyBorder="1" applyAlignment="1">
      <alignment horizontal="center" vertical="center" wrapText="1"/>
    </xf>
    <xf numFmtId="0" fontId="64" fillId="0" borderId="12" xfId="0" applyFont="1" applyBorder="1" applyAlignment="1">
      <alignment horizontal="center" wrapText="1"/>
    </xf>
    <xf numFmtId="0" fontId="58" fillId="0" borderId="15" xfId="0" applyFont="1" applyBorder="1" applyAlignment="1">
      <alignment horizontal="center" vertical="top"/>
    </xf>
    <xf numFmtId="0" fontId="58" fillId="0" borderId="15" xfId="0" applyFont="1" applyBorder="1" applyAlignment="1">
      <alignment horizontal="center"/>
    </xf>
    <xf numFmtId="0" fontId="63" fillId="0" borderId="0" xfId="0" applyFont="1" applyAlignment="1">
      <alignment horizontal="center"/>
    </xf>
    <xf numFmtId="4" fontId="29" fillId="0" borderId="2" xfId="0" applyNumberFormat="1" applyFont="1" applyBorder="1" applyAlignment="1">
      <alignment horizontal="center" vertical="center" wrapText="1"/>
    </xf>
    <xf numFmtId="4" fontId="29" fillId="0" borderId="1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4" fontId="18" fillId="0" borderId="11" xfId="0" applyNumberFormat="1" applyFont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2" fontId="19" fillId="2" borderId="2" xfId="0" applyNumberFormat="1" applyFont="1" applyFill="1" applyBorder="1" applyAlignment="1">
      <alignment horizontal="center" vertical="center"/>
    </xf>
    <xf numFmtId="2" fontId="19" fillId="2" borderId="11" xfId="0" applyNumberFormat="1" applyFont="1" applyFill="1" applyBorder="1" applyAlignment="1">
      <alignment horizontal="center" vertical="center"/>
    </xf>
    <xf numFmtId="2" fontId="8" fillId="2" borderId="2" xfId="0" applyNumberFormat="1" applyFont="1" applyFill="1" applyBorder="1" applyAlignment="1">
      <alignment horizontal="center" vertical="center"/>
    </xf>
    <xf numFmtId="2" fontId="8" fillId="2" borderId="11" xfId="0" applyNumberFormat="1" applyFont="1" applyFill="1" applyBorder="1" applyAlignment="1">
      <alignment horizontal="center" vertical="center"/>
    </xf>
    <xf numFmtId="4" fontId="18" fillId="2" borderId="2" xfId="0" applyNumberFormat="1" applyFont="1" applyFill="1" applyBorder="1" applyAlignment="1">
      <alignment horizontal="center" vertical="center"/>
    </xf>
    <xf numFmtId="4" fontId="18" fillId="2" borderId="11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right" vertical="center" indent="3"/>
    </xf>
    <xf numFmtId="0" fontId="8" fillId="3" borderId="29" xfId="0" applyFont="1" applyFill="1" applyBorder="1" applyAlignment="1">
      <alignment horizontal="right" vertical="center" indent="3"/>
    </xf>
    <xf numFmtId="0" fontId="8" fillId="3" borderId="11" xfId="0" applyFont="1" applyFill="1" applyBorder="1" applyAlignment="1">
      <alignment horizontal="right" vertical="center" indent="3"/>
    </xf>
    <xf numFmtId="0" fontId="8" fillId="0" borderId="2" xfId="0" applyFont="1" applyBorder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22" fillId="0" borderId="2" xfId="0" applyFont="1" applyBorder="1" applyAlignment="1">
      <alignment horizontal="right" vertical="center" wrapText="1" indent="1"/>
    </xf>
    <xf numFmtId="0" fontId="22" fillId="0" borderId="29" xfId="0" applyFont="1" applyBorder="1" applyAlignment="1">
      <alignment horizontal="right" vertical="center" wrapText="1" indent="1"/>
    </xf>
    <xf numFmtId="0" fontId="22" fillId="0" borderId="11" xfId="0" applyFont="1" applyBorder="1" applyAlignment="1">
      <alignment horizontal="right" vertical="center" wrapText="1" indent="1"/>
    </xf>
    <xf numFmtId="0" fontId="7" fillId="3" borderId="2" xfId="0" applyFont="1" applyFill="1" applyBorder="1" applyAlignment="1">
      <alignment horizontal="right" vertical="center" wrapText="1"/>
    </xf>
    <xf numFmtId="0" fontId="7" fillId="3" borderId="29" xfId="0" applyFont="1" applyFill="1" applyBorder="1" applyAlignment="1">
      <alignment horizontal="right" vertical="center" wrapText="1"/>
    </xf>
    <xf numFmtId="2" fontId="7" fillId="0" borderId="29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57" fillId="0" borderId="0" xfId="0" applyFont="1" applyAlignment="1">
      <alignment horizontal="right"/>
    </xf>
    <xf numFmtId="0" fontId="57" fillId="0" borderId="0" xfId="0" applyFont="1" applyAlignment="1">
      <alignment horizontal="center" vertical="center"/>
    </xf>
    <xf numFmtId="0" fontId="57" fillId="0" borderId="0" xfId="0" applyFont="1" applyAlignment="1">
      <alignment horizontal="right" vertical="center"/>
    </xf>
    <xf numFmtId="49" fontId="22" fillId="6" borderId="2" xfId="0" applyNumberFormat="1" applyFont="1" applyFill="1" applyBorder="1" applyAlignment="1">
      <alignment horizontal="center" vertical="center" wrapText="1"/>
    </xf>
    <xf numFmtId="49" fontId="22" fillId="6" borderId="11" xfId="0" applyNumberFormat="1" applyFont="1" applyFill="1" applyBorder="1" applyAlignment="1">
      <alignment horizontal="center" vertical="center" wrapText="1"/>
    </xf>
    <xf numFmtId="49" fontId="23" fillId="6" borderId="21" xfId="0" applyNumberFormat="1" applyFont="1" applyFill="1" applyBorder="1" applyAlignment="1">
      <alignment horizontal="center" vertical="center" wrapText="1"/>
    </xf>
    <xf numFmtId="49" fontId="23" fillId="6" borderId="28" xfId="0" applyNumberFormat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</cellXfs>
  <cellStyles count="5">
    <cellStyle name="Обычный" xfId="0" builtinId="0"/>
    <cellStyle name="Процентный" xfId="1" builtinId="5"/>
    <cellStyle name="Процентный 2" xfId="2" xr:uid="{00000000-0005-0000-0000-000002000000}"/>
    <cellStyle name="Финансовый" xfId="3" builtinId="3"/>
    <cellStyle name="Финансовый 2" xfId="4" xr:uid="{00000000-0005-0000-0000-000004000000}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113"/>
  <sheetViews>
    <sheetView showGridLines="0" tabSelected="1" workbookViewId="0">
      <selection activeCell="D74" sqref="D74"/>
    </sheetView>
  </sheetViews>
  <sheetFormatPr defaultRowHeight="12.75" x14ac:dyDescent="0.2"/>
  <cols>
    <col min="1" max="1" width="5.140625" customWidth="1"/>
    <col min="2" max="3" width="5.7109375" customWidth="1"/>
    <col min="4" max="4" width="45.7109375" customWidth="1"/>
    <col min="5" max="6" width="6.85546875" customWidth="1"/>
    <col min="7" max="7" width="11.85546875" customWidth="1"/>
    <col min="8" max="10" width="10.7109375" customWidth="1"/>
    <col min="11" max="11" width="9.85546875" customWidth="1"/>
    <col min="12" max="12" width="9.5703125" customWidth="1"/>
    <col min="13" max="13" width="5.85546875" hidden="1" customWidth="1"/>
    <col min="14" max="14" width="5" hidden="1" customWidth="1"/>
    <col min="15" max="15" width="5.140625" hidden="1" customWidth="1"/>
    <col min="16" max="18" width="9.140625" hidden="1" customWidth="1"/>
  </cols>
  <sheetData>
    <row r="1" spans="1:18" ht="23.25" customHeight="1" x14ac:dyDescent="0.2">
      <c r="A1" s="147"/>
      <c r="B1" s="147"/>
      <c r="C1" s="147"/>
      <c r="D1" s="147"/>
      <c r="E1" s="147"/>
      <c r="F1" s="147"/>
      <c r="G1" s="147"/>
      <c r="H1" s="252" t="s">
        <v>58</v>
      </c>
      <c r="I1" s="252"/>
      <c r="J1" s="252"/>
      <c r="K1" s="252"/>
      <c r="L1" s="252"/>
      <c r="M1" s="252"/>
      <c r="N1" s="148"/>
      <c r="O1" s="128"/>
    </row>
    <row r="2" spans="1:18" ht="23.25" customHeight="1" x14ac:dyDescent="0.2">
      <c r="A2" s="253" t="s">
        <v>82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128"/>
    </row>
    <row r="3" spans="1:18" ht="24" customHeight="1" x14ac:dyDescent="0.2">
      <c r="A3" s="263" t="s">
        <v>85</v>
      </c>
      <c r="B3" s="263"/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128"/>
    </row>
    <row r="4" spans="1:18" x14ac:dyDescent="0.2">
      <c r="A4" s="264" t="s">
        <v>59</v>
      </c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128"/>
    </row>
    <row r="5" spans="1:18" x14ac:dyDescent="0.2">
      <c r="A5" s="263" t="s">
        <v>0</v>
      </c>
      <c r="B5" s="263"/>
      <c r="C5" s="263"/>
      <c r="D5" s="263"/>
      <c r="E5" s="263"/>
      <c r="F5" s="263"/>
      <c r="G5" s="263"/>
      <c r="H5" s="263"/>
      <c r="I5" s="263"/>
      <c r="J5" s="263"/>
      <c r="K5" s="263"/>
      <c r="L5" s="263"/>
      <c r="M5" s="263"/>
      <c r="N5" s="263"/>
      <c r="O5" s="128"/>
    </row>
    <row r="6" spans="1:18" x14ac:dyDescent="0.2">
      <c r="A6" s="264" t="s">
        <v>60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128"/>
    </row>
    <row r="7" spans="1:18" ht="36" customHeight="1" x14ac:dyDescent="0.25">
      <c r="A7" s="266" t="s">
        <v>81</v>
      </c>
      <c r="B7" s="266"/>
      <c r="C7" s="266"/>
      <c r="D7" s="266"/>
      <c r="E7" s="266"/>
      <c r="F7" s="266"/>
      <c r="G7" s="266"/>
      <c r="H7" s="266"/>
      <c r="I7" s="266"/>
      <c r="J7" s="266"/>
      <c r="K7" s="266"/>
      <c r="L7" s="266"/>
      <c r="M7" s="266"/>
      <c r="N7" s="266"/>
      <c r="O7" s="128"/>
    </row>
    <row r="8" spans="1:18" ht="36.75" customHeight="1" x14ac:dyDescent="0.2">
      <c r="A8" s="263" t="s">
        <v>86</v>
      </c>
      <c r="B8" s="263"/>
      <c r="C8" s="263"/>
      <c r="D8" s="263"/>
      <c r="E8" s="263"/>
      <c r="F8" s="263"/>
      <c r="G8" s="263"/>
      <c r="H8" s="263"/>
      <c r="I8" s="263"/>
      <c r="J8" s="263"/>
      <c r="K8" s="263"/>
      <c r="L8" s="263"/>
      <c r="M8" s="263"/>
      <c r="N8" s="263"/>
      <c r="O8" s="128"/>
    </row>
    <row r="9" spans="1:18" ht="21" customHeight="1" x14ac:dyDescent="0.2">
      <c r="A9" s="264" t="s">
        <v>61</v>
      </c>
      <c r="B9" s="264"/>
      <c r="C9" s="264"/>
      <c r="D9" s="264"/>
      <c r="E9" s="264"/>
      <c r="F9" s="264"/>
      <c r="G9" s="264"/>
      <c r="H9" s="264"/>
      <c r="I9" s="264"/>
      <c r="J9" s="264"/>
      <c r="K9" s="264"/>
      <c r="L9" s="264"/>
      <c r="M9" s="264"/>
      <c r="N9" s="264"/>
      <c r="O9" s="128"/>
    </row>
    <row r="10" spans="1:18" ht="16.5" customHeight="1" x14ac:dyDescent="0.2">
      <c r="A10" s="159" t="s">
        <v>83</v>
      </c>
      <c r="B10" s="172"/>
      <c r="C10" s="147"/>
      <c r="D10" s="147"/>
      <c r="E10" s="147"/>
      <c r="F10" s="149"/>
      <c r="G10" s="149"/>
      <c r="H10" s="149"/>
      <c r="I10" s="149"/>
      <c r="J10" s="149"/>
      <c r="K10" s="149"/>
      <c r="L10" s="149"/>
      <c r="M10" s="149"/>
      <c r="N10" s="149"/>
      <c r="O10" s="128"/>
    </row>
    <row r="11" spans="1:18" ht="27.75" customHeight="1" x14ac:dyDescent="0.2">
      <c r="A11" s="254" t="s">
        <v>62</v>
      </c>
      <c r="B11" s="254"/>
      <c r="C11" s="255" t="s">
        <v>84</v>
      </c>
      <c r="D11" s="255"/>
      <c r="E11" s="255"/>
      <c r="F11" s="255"/>
      <c r="G11" s="149"/>
      <c r="H11" s="149"/>
      <c r="I11" s="149"/>
      <c r="J11" s="149"/>
      <c r="K11" s="149"/>
      <c r="L11" s="149"/>
      <c r="M11" s="149"/>
      <c r="N11" s="149"/>
      <c r="O11" s="128"/>
    </row>
    <row r="12" spans="1:18" ht="14.1" customHeight="1" x14ac:dyDescent="0.2">
      <c r="A12" s="147"/>
      <c r="B12" s="1"/>
      <c r="C12" s="265" t="s">
        <v>63</v>
      </c>
      <c r="D12" s="265"/>
      <c r="E12" s="265"/>
      <c r="F12" s="265"/>
      <c r="G12" s="150"/>
      <c r="H12" s="150"/>
      <c r="I12" s="168">
        <f>J12</f>
        <v>0</v>
      </c>
      <c r="J12" s="168">
        <f>ROUND(K12/D14,2)</f>
        <v>0</v>
      </c>
      <c r="K12" s="167">
        <v>0</v>
      </c>
      <c r="L12" s="150"/>
      <c r="M12" s="151"/>
      <c r="N12" s="150"/>
      <c r="O12" s="128"/>
    </row>
    <row r="13" spans="1:18" ht="14.1" customHeight="1" x14ac:dyDescent="0.2">
      <c r="A13" s="147"/>
      <c r="B13" s="147"/>
      <c r="C13" s="147"/>
      <c r="D13" s="172"/>
      <c r="E13" s="172"/>
      <c r="F13" s="172"/>
      <c r="G13" s="172"/>
      <c r="H13" s="172"/>
      <c r="I13" s="172"/>
      <c r="J13" s="166"/>
      <c r="K13" s="172"/>
      <c r="L13" s="172"/>
      <c r="M13" s="172"/>
      <c r="N13" s="172"/>
      <c r="O13" s="128"/>
    </row>
    <row r="14" spans="1:18" ht="15.75" customHeight="1" x14ac:dyDescent="0.2">
      <c r="A14" s="256" t="s">
        <v>72</v>
      </c>
      <c r="B14" s="256"/>
      <c r="C14" s="256"/>
      <c r="D14" s="171">
        <f>K66</f>
        <v>40000</v>
      </c>
      <c r="E14" s="166" t="s">
        <v>65</v>
      </c>
      <c r="F14" s="170" t="str">
        <f>"Договорная стоимость работ с пониж. коэффициентом "&amp;I12&amp;" ="</f>
        <v>Договорная стоимость работ с пониж. коэффициентом 0 =</v>
      </c>
      <c r="G14" s="170"/>
      <c r="H14" s="170"/>
      <c r="I14" s="170"/>
      <c r="J14" s="1"/>
      <c r="K14" s="169">
        <f>K12</f>
        <v>0</v>
      </c>
      <c r="L14" s="165" t="s">
        <v>65</v>
      </c>
      <c r="M14" s="152"/>
      <c r="N14" s="147"/>
      <c r="O14" s="128"/>
    </row>
    <row r="15" spans="1:18" ht="14.1" customHeight="1" x14ac:dyDescent="0.2">
      <c r="A15" s="293" t="s">
        <v>64</v>
      </c>
      <c r="B15" s="293"/>
      <c r="C15" s="293"/>
      <c r="D15" s="161">
        <f>K66</f>
        <v>40000</v>
      </c>
      <c r="E15" s="153"/>
      <c r="F15" s="147" t="s">
        <v>87</v>
      </c>
      <c r="G15" s="147"/>
      <c r="H15" s="147"/>
      <c r="I15" s="147"/>
      <c r="J15" s="147"/>
      <c r="K15" s="147"/>
      <c r="L15" s="147"/>
      <c r="M15" s="147"/>
      <c r="N15" s="147"/>
      <c r="O15" s="128"/>
    </row>
    <row r="16" spans="1:18" ht="14.1" customHeight="1" x14ac:dyDescent="0.2">
      <c r="A16" s="294" t="s">
        <v>68</v>
      </c>
      <c r="B16" s="294"/>
      <c r="C16" s="294"/>
      <c r="D16" s="162">
        <f>R16</f>
        <v>2403.4699999999998</v>
      </c>
      <c r="E16" s="153" t="s">
        <v>65</v>
      </c>
      <c r="F16" s="1"/>
      <c r="G16" s="1"/>
      <c r="H16" s="1"/>
      <c r="I16" s="1"/>
      <c r="J16" s="1"/>
      <c r="K16" s="1"/>
      <c r="L16" s="2"/>
      <c r="M16" s="147"/>
      <c r="N16" s="147"/>
      <c r="O16" s="128"/>
      <c r="R16" s="3">
        <f>SUM(R17:R502)</f>
        <v>2403.4699999999998</v>
      </c>
    </row>
    <row r="17" spans="1:17" ht="16.5" customHeight="1" x14ac:dyDescent="0.2">
      <c r="A17" s="295" t="s">
        <v>70</v>
      </c>
      <c r="B17" s="295"/>
      <c r="C17" s="295"/>
      <c r="D17" s="163">
        <f>Q17</f>
        <v>29999.93</v>
      </c>
      <c r="E17" s="153" t="s">
        <v>65</v>
      </c>
      <c r="F17" s="147" t="s">
        <v>69</v>
      </c>
      <c r="G17" s="147"/>
      <c r="H17" s="147"/>
      <c r="I17" s="147"/>
      <c r="J17" s="147"/>
      <c r="K17" s="162">
        <f>G54</f>
        <v>4541.1000000000004</v>
      </c>
      <c r="L17" s="154" t="s">
        <v>65</v>
      </c>
      <c r="M17" s="147"/>
      <c r="N17" s="147"/>
      <c r="O17" s="128"/>
      <c r="P17" s="3"/>
      <c r="Q17" s="3">
        <f>SUM(Q18:Q502)</f>
        <v>29999.93</v>
      </c>
    </row>
    <row r="18" spans="1:17" ht="15" customHeight="1" x14ac:dyDescent="0.2">
      <c r="A18" s="295" t="s">
        <v>71</v>
      </c>
      <c r="B18" s="295"/>
      <c r="C18" s="295"/>
      <c r="D18" s="162">
        <f>P18</f>
        <v>6996.6</v>
      </c>
      <c r="E18" s="153" t="s">
        <v>65</v>
      </c>
      <c r="F18" s="147" t="s">
        <v>66</v>
      </c>
      <c r="G18" s="147"/>
      <c r="H18" s="147"/>
      <c r="I18" s="147"/>
      <c r="J18" s="147"/>
      <c r="K18" s="163">
        <f>L54</f>
        <v>6.54</v>
      </c>
      <c r="L18" s="154" t="s">
        <v>67</v>
      </c>
      <c r="M18" s="155"/>
      <c r="N18" s="156"/>
      <c r="O18" s="128"/>
      <c r="P18" s="3">
        <f>SUM(P19:P502)</f>
        <v>6996.6</v>
      </c>
    </row>
    <row r="19" spans="1:17" ht="15" customHeight="1" x14ac:dyDescent="0.2">
      <c r="A19" s="173"/>
      <c r="B19" s="173"/>
      <c r="C19" s="173"/>
      <c r="D19" s="157"/>
      <c r="E19" s="153"/>
      <c r="F19" s="147"/>
      <c r="G19" s="147"/>
      <c r="H19" s="147"/>
      <c r="I19" s="147"/>
      <c r="J19" s="147"/>
      <c r="K19" s="1"/>
      <c r="L19" s="2"/>
      <c r="M19" s="158"/>
      <c r="N19" s="156"/>
      <c r="O19" s="128"/>
    </row>
    <row r="20" spans="1:17" ht="26.25" customHeight="1" x14ac:dyDescent="0.2">
      <c r="A20" s="121" t="s">
        <v>54</v>
      </c>
      <c r="B20" s="257" t="s">
        <v>46</v>
      </c>
      <c r="C20" s="258"/>
      <c r="D20" s="122" t="s">
        <v>2</v>
      </c>
      <c r="E20" s="296" t="s">
        <v>31</v>
      </c>
      <c r="F20" s="297"/>
      <c r="G20" s="259" t="s">
        <v>55</v>
      </c>
      <c r="H20" s="260"/>
      <c r="I20" s="260"/>
      <c r="J20" s="260"/>
      <c r="K20" s="260"/>
      <c r="L20" s="261" t="s">
        <v>56</v>
      </c>
      <c r="M20" s="62"/>
      <c r="N20" s="62"/>
      <c r="O20" s="128"/>
    </row>
    <row r="21" spans="1:17" ht="13.5" customHeight="1" x14ac:dyDescent="0.2">
      <c r="A21" s="123"/>
      <c r="B21" s="119" t="str">
        <f>IF(SUM($N$1:$N$1505)&gt;0,"k(d)","")</f>
        <v/>
      </c>
      <c r="C21" s="119" t="str">
        <f>IF(SUM($O$1:$O$1505)&gt;0,"k(h)","")</f>
        <v/>
      </c>
      <c r="D21" s="124" t="str">
        <f>IF(AND(SUM($N$1:$N$1505)&gt;0,SUM($O$1:$O$1505)&gt;0),"◄= k(d) -коэф. на демонтаж * k(h) - высотный коэф.",IF(AND(SUM($N$1:$N$1505)&gt;0,SUM($O$1:$O$1505)=0),"◄= k(d) -коэф. на демонтаж",IF(AND(SUM($N$1:$N$1505)=0,SUM($O$1:$O$1505)&gt;0),"◄= k(h) - высотный коэффициент","")))</f>
        <v/>
      </c>
      <c r="E21" s="298" t="s">
        <v>47</v>
      </c>
      <c r="F21" s="299"/>
      <c r="G21" s="125" t="s">
        <v>40</v>
      </c>
      <c r="H21" s="126" t="s">
        <v>32</v>
      </c>
      <c r="I21" s="126" t="s">
        <v>33</v>
      </c>
      <c r="J21" s="126" t="s">
        <v>34</v>
      </c>
      <c r="K21" s="127" t="s">
        <v>35</v>
      </c>
      <c r="L21" s="262"/>
      <c r="M21" s="62"/>
      <c r="N21" s="62"/>
      <c r="O21" s="128"/>
    </row>
    <row r="22" spans="1:17" ht="12.75" customHeight="1" x14ac:dyDescent="0.2">
      <c r="A22" s="20">
        <v>1</v>
      </c>
      <c r="B22" s="300">
        <v>2</v>
      </c>
      <c r="C22" s="301"/>
      <c r="D22" s="20">
        <v>3</v>
      </c>
      <c r="E22" s="300">
        <v>4</v>
      </c>
      <c r="F22" s="301"/>
      <c r="G22" s="20">
        <v>5</v>
      </c>
      <c r="H22" s="20">
        <v>6</v>
      </c>
      <c r="I22" s="20">
        <v>7</v>
      </c>
      <c r="J22" s="20">
        <v>8</v>
      </c>
      <c r="K22" s="20">
        <v>9</v>
      </c>
      <c r="L22" s="20">
        <v>10</v>
      </c>
    </row>
    <row r="23" spans="1:17" ht="24" customHeight="1" x14ac:dyDescent="0.2">
      <c r="A23" s="302" t="s">
        <v>73</v>
      </c>
      <c r="B23" s="303"/>
      <c r="C23" s="303"/>
      <c r="D23" s="303"/>
      <c r="E23" s="303"/>
      <c r="F23" s="303"/>
      <c r="G23" s="303"/>
      <c r="H23" s="303"/>
      <c r="I23" s="303"/>
      <c r="J23" s="303"/>
      <c r="K23" s="303"/>
      <c r="L23" s="33"/>
    </row>
    <row r="24" spans="1:17" ht="13.5" x14ac:dyDescent="0.2">
      <c r="A24" s="31">
        <v>1</v>
      </c>
      <c r="B24" s="304" t="s">
        <v>74</v>
      </c>
      <c r="C24" s="305"/>
      <c r="D24" s="44" t="s">
        <v>75</v>
      </c>
      <c r="E24" s="306" t="s">
        <v>76</v>
      </c>
      <c r="F24" s="307"/>
      <c r="G24" s="95">
        <v>39.39</v>
      </c>
      <c r="H24" s="98">
        <v>34.159999999999997</v>
      </c>
      <c r="I24" s="95">
        <v>0</v>
      </c>
      <c r="J24" s="95">
        <v>0</v>
      </c>
      <c r="K24" s="95">
        <v>0</v>
      </c>
      <c r="L24" s="95">
        <v>3.3</v>
      </c>
      <c r="M24" s="62"/>
      <c r="N24" s="62"/>
      <c r="O24" s="128"/>
    </row>
    <row r="25" spans="1:17" ht="14.25" customHeight="1" x14ac:dyDescent="0.2">
      <c r="A25" s="30" t="str">
        <f>IF(B25&lt;&gt;0,"k =",IF(C25&lt;&gt;0,"k =",""))</f>
        <v/>
      </c>
      <c r="B25" s="9">
        <v>0</v>
      </c>
      <c r="C25" s="8">
        <v>0</v>
      </c>
      <c r="D25" s="89" t="str">
        <f>IF(AND(0&lt;B25,B25&lt;1,C25=0),"                    Демонтаж с коэффициентом  = "&amp;M25,IF(AND(B25=0,C25&lt;&gt;0),"                       с высотным коэффициентом  = "&amp;M25,IF(AND(0&lt;B25,B25&lt;1,C25&gt;1),"            Демонтаж на высоте с коэф. = "&amp;M25,IF(AND(1&lt;B25,C25=0),"     Монтаж и демонтаж с коэффициентом  = "&amp;M25,IF(AND(B25&gt;1,C25&lt;&gt;0),"    Монтаж и демонтаж на высоте с коэф. = "&amp;M25,"")))))</f>
        <v/>
      </c>
      <c r="E25" s="308">
        <v>1</v>
      </c>
      <c r="F25" s="309"/>
      <c r="G25" s="46">
        <f>H25+I25+K25</f>
        <v>34.159999999999997</v>
      </c>
      <c r="H25" s="99">
        <f>ROUND(IF(M25=0,H24*E25,H24*E25*M25),2)</f>
        <v>34.159999999999997</v>
      </c>
      <c r="I25" s="46">
        <f>ROUND(IF(M25=0,I24*E25,I24*E25*M25),2)</f>
        <v>0</v>
      </c>
      <c r="J25" s="46">
        <f>ROUND(IF(M25=0,J24*E25,J24*E25*M25),2)</f>
        <v>0</v>
      </c>
      <c r="K25" s="52">
        <f>ROUND(IF(AND(0&lt;B25,B25&lt;1),0,K24*E25),2)</f>
        <v>0</v>
      </c>
      <c r="L25" s="46">
        <f>ROUND(IF(M25=0,L24*E25,L24*E25*M25),2)</f>
        <v>3.3</v>
      </c>
      <c r="M25" s="129">
        <f>IF(B25*C25&lt;&gt;0, B25*C25,IF(B25+C25=0,0,IF(B25=0,C25,IF(C25=0,B25,))))</f>
        <v>0</v>
      </c>
      <c r="N25" s="130">
        <f>B25</f>
        <v>0</v>
      </c>
      <c r="O25" s="131">
        <f>C25</f>
        <v>0</v>
      </c>
    </row>
    <row r="26" spans="1:17" ht="14.45" customHeight="1" x14ac:dyDescent="0.2">
      <c r="A26" s="290" t="s">
        <v>51</v>
      </c>
      <c r="B26" s="291"/>
      <c r="C26" s="291"/>
      <c r="D26" s="291"/>
      <c r="E26" s="291"/>
      <c r="F26" s="292"/>
      <c r="G26" s="47">
        <f>H26+I26+K26</f>
        <v>34.159999999999997</v>
      </c>
      <c r="H26" s="47">
        <f>H25</f>
        <v>34.159999999999997</v>
      </c>
      <c r="I26" s="47">
        <f t="shared" ref="I26:L26" si="0">I25</f>
        <v>0</v>
      </c>
      <c r="J26" s="47">
        <f t="shared" si="0"/>
        <v>0</v>
      </c>
      <c r="K26" s="47">
        <f t="shared" si="0"/>
        <v>0</v>
      </c>
      <c r="L26" s="47">
        <f t="shared" si="0"/>
        <v>3.3</v>
      </c>
      <c r="M26" s="62"/>
      <c r="N26" s="62"/>
      <c r="O26" s="128"/>
    </row>
    <row r="27" spans="1:17" ht="14.45" hidden="1" customHeight="1" x14ac:dyDescent="0.2">
      <c r="A27" s="207" t="s">
        <v>48</v>
      </c>
      <c r="B27" s="208"/>
      <c r="C27" s="208"/>
      <c r="D27" s="208"/>
      <c r="E27" s="208"/>
      <c r="F27" s="117">
        <v>1</v>
      </c>
      <c r="G27" s="66">
        <f>ROUND(H27+I27+K27,2)</f>
        <v>34.159999999999997</v>
      </c>
      <c r="H27" s="66">
        <f>H26*F27</f>
        <v>34.159999999999997</v>
      </c>
      <c r="I27" s="66">
        <f>I26+J27-J26</f>
        <v>0</v>
      </c>
      <c r="J27" s="66">
        <f>J26*F27</f>
        <v>0</v>
      </c>
      <c r="K27" s="66">
        <f>K26</f>
        <v>0</v>
      </c>
      <c r="L27" s="66">
        <f>L26*F27</f>
        <v>3.3</v>
      </c>
      <c r="M27" s="62"/>
      <c r="N27" s="62"/>
      <c r="O27" s="128"/>
    </row>
    <row r="28" spans="1:17" ht="14.45" hidden="1" customHeight="1" x14ac:dyDescent="0.2">
      <c r="A28" s="226" t="s">
        <v>37</v>
      </c>
      <c r="B28" s="227"/>
      <c r="C28" s="227"/>
      <c r="D28" s="227"/>
      <c r="E28" s="227"/>
      <c r="F28" s="45">
        <v>1</v>
      </c>
      <c r="G28" s="29">
        <f>ROUND(H28+I28+K28,2)</f>
        <v>34.159999999999997</v>
      </c>
      <c r="H28" s="53">
        <f>H27*F28</f>
        <v>34.159999999999997</v>
      </c>
      <c r="I28" s="67">
        <f>I27+J28-J27</f>
        <v>0</v>
      </c>
      <c r="J28" s="48">
        <f>J27*F28</f>
        <v>0</v>
      </c>
      <c r="K28" s="48">
        <f>K27</f>
        <v>0</v>
      </c>
      <c r="L28" s="48">
        <f>L27*F28</f>
        <v>3.3</v>
      </c>
      <c r="M28" s="62"/>
      <c r="N28" s="62"/>
      <c r="O28" s="128"/>
    </row>
    <row r="29" spans="1:17" ht="14.45" hidden="1" customHeight="1" x14ac:dyDescent="0.2">
      <c r="A29" s="226" t="s">
        <v>36</v>
      </c>
      <c r="B29" s="227"/>
      <c r="C29" s="227"/>
      <c r="D29" s="227"/>
      <c r="E29" s="227"/>
      <c r="F29" s="45">
        <v>1</v>
      </c>
      <c r="G29" s="29">
        <f>ROUND(H29+I29+K29,2)</f>
        <v>34.159999999999997</v>
      </c>
      <c r="H29" s="53">
        <f>H28*F29</f>
        <v>34.159999999999997</v>
      </c>
      <c r="I29" s="67">
        <f>I28+J29-J28</f>
        <v>0</v>
      </c>
      <c r="J29" s="48">
        <f>J28*F29</f>
        <v>0</v>
      </c>
      <c r="K29" s="67">
        <f>K28</f>
        <v>0</v>
      </c>
      <c r="L29" s="48">
        <f>L28*F29</f>
        <v>3.3</v>
      </c>
      <c r="M29" s="62"/>
      <c r="N29" s="62"/>
      <c r="O29" s="128"/>
    </row>
    <row r="30" spans="1:17" ht="14.45" hidden="1" customHeight="1" x14ac:dyDescent="0.2">
      <c r="A30" s="91">
        <f>1+F30</f>
        <v>1</v>
      </c>
      <c r="B30" s="227" t="str">
        <f>"С учетом зимних условий работ = "&amp;G29&amp;" +"</f>
        <v>С учетом зимних условий работ = 34,16 +</v>
      </c>
      <c r="C30" s="227"/>
      <c r="D30" s="227"/>
      <c r="E30" s="227"/>
      <c r="F30" s="132">
        <v>0</v>
      </c>
      <c r="G30" s="29">
        <f>ROUND(H30+I30+K30,2)</f>
        <v>34.159999999999997</v>
      </c>
      <c r="H30" s="53">
        <f>H29*A30</f>
        <v>34.159999999999997</v>
      </c>
      <c r="I30" s="48">
        <f>I29*A30</f>
        <v>0</v>
      </c>
      <c r="J30" s="48">
        <f>J29*A30</f>
        <v>0</v>
      </c>
      <c r="K30" s="48">
        <f>K29*A30</f>
        <v>0</v>
      </c>
      <c r="L30" s="48">
        <f>ROUND(L29*A30,2)</f>
        <v>3.3</v>
      </c>
      <c r="M30" s="62"/>
      <c r="N30" s="62"/>
      <c r="O30" s="128"/>
    </row>
    <row r="31" spans="1:17" ht="14.25" customHeight="1" x14ac:dyDescent="0.2">
      <c r="A31" s="284" t="str">
        <f>"Прямые затраты в текущих ценах на "&amp;E32&amp;" (ОЗП, ЗПМ*"&amp;H32&amp;"; ЭМ*"&amp;I32&amp;"; МАТ*"&amp;K32&amp;")"</f>
        <v>Прямые затраты в текущих ценах на 1кв. 2026г. (ОЗП, ЗПМ*33,99; ЭМ*21; МАТ*0)</v>
      </c>
      <c r="B31" s="285"/>
      <c r="C31" s="285"/>
      <c r="D31" s="285"/>
      <c r="E31" s="285"/>
      <c r="F31" s="286"/>
      <c r="G31" s="67">
        <f>H31+I31+K31</f>
        <v>1161.0999999999999</v>
      </c>
      <c r="H31" s="67">
        <f>ROUND(H30*H32,2)</f>
        <v>1161.0999999999999</v>
      </c>
      <c r="I31" s="67">
        <f>ROUND(I30*I32,2)</f>
        <v>0</v>
      </c>
      <c r="J31" s="67">
        <f>ROUND(J30*J32,2)</f>
        <v>0</v>
      </c>
      <c r="K31" s="67">
        <f>ROUND(K30*K32,2)</f>
        <v>0</v>
      </c>
      <c r="L31" s="67">
        <f>L30</f>
        <v>3.3</v>
      </c>
      <c r="M31" s="62"/>
      <c r="N31" s="62"/>
      <c r="O31" s="128"/>
    </row>
    <row r="32" spans="1:17" ht="16.5" hidden="1" customHeight="1" x14ac:dyDescent="0.2">
      <c r="A32" s="287" t="s">
        <v>39</v>
      </c>
      <c r="B32" s="288"/>
      <c r="C32" s="288"/>
      <c r="D32" s="288"/>
      <c r="E32" s="289" t="str">
        <f>TRUNC((RIGHT(LEFT("01.01.2026",5),2)-1)/3,0)+1&amp;"кв. "&amp;RIGHT("01.01.2026",4)&amp;"г."</f>
        <v>1кв. 2026г.</v>
      </c>
      <c r="F32" s="289"/>
      <c r="G32" s="114" t="s">
        <v>25</v>
      </c>
      <c r="H32" s="116">
        <v>33.99</v>
      </c>
      <c r="I32" s="116">
        <v>21</v>
      </c>
      <c r="J32" s="116">
        <v>21</v>
      </c>
      <c r="K32" s="116">
        <v>0</v>
      </c>
      <c r="L32" s="115"/>
      <c r="M32" s="62"/>
      <c r="N32" s="62"/>
      <c r="O32" s="128"/>
    </row>
    <row r="33" spans="1:18" s="62" customFormat="1" ht="14.45" customHeight="1" x14ac:dyDescent="0.2">
      <c r="A33" s="226" t="s">
        <v>57</v>
      </c>
      <c r="B33" s="227"/>
      <c r="C33" s="227"/>
      <c r="D33" s="227"/>
      <c r="E33" s="227"/>
      <c r="F33" s="228"/>
      <c r="G33" s="67">
        <f>ROUND(H31+J31,2)</f>
        <v>1161.0999999999999</v>
      </c>
      <c r="H33" s="108"/>
      <c r="I33" s="108"/>
      <c r="J33" s="108"/>
      <c r="K33" s="108"/>
      <c r="L33" s="103"/>
      <c r="O33" s="128"/>
      <c r="P33"/>
    </row>
    <row r="34" spans="1:18" ht="14.45" customHeight="1" x14ac:dyDescent="0.2">
      <c r="A34" s="226" t="str">
        <f>"Накладные расходы (НР) на ФОТ =  "&amp;G33&amp;" х"</f>
        <v>Накладные расходы (НР) на ФОТ =  1161,1 х</v>
      </c>
      <c r="B34" s="227"/>
      <c r="C34" s="227"/>
      <c r="D34" s="227"/>
      <c r="E34" s="227"/>
      <c r="F34" s="135">
        <v>0.64</v>
      </c>
      <c r="G34" s="110">
        <f>ROUND(F34*G33,2)</f>
        <v>743.1</v>
      </c>
      <c r="H34" s="144">
        <f>IF(I34=0%,F34/0.7,F34/0.94)</f>
        <v>0.91428571428571437</v>
      </c>
      <c r="I34" s="174">
        <v>0</v>
      </c>
      <c r="J34" s="15"/>
      <c r="K34" s="15"/>
      <c r="L34" s="104" t="s">
        <v>38</v>
      </c>
      <c r="M34" s="62"/>
      <c r="N34" s="62"/>
      <c r="O34" s="128"/>
    </row>
    <row r="35" spans="1:18" ht="14.45" customHeight="1" x14ac:dyDescent="0.2">
      <c r="A35" s="226" t="str">
        <f>"Сметная прибыль (СП) на ФОТ =  "&amp;G33&amp;" х"</f>
        <v>Сметная прибыль (СП) на ФОТ =  1161,1 х</v>
      </c>
      <c r="B35" s="227"/>
      <c r="C35" s="227"/>
      <c r="D35" s="227"/>
      <c r="E35" s="227"/>
      <c r="F35" s="135">
        <v>0.43</v>
      </c>
      <c r="G35" s="110">
        <f>ROUND(G33*F35,2)</f>
        <v>499.27</v>
      </c>
      <c r="H35" s="143">
        <f>IF(I34=0%,F35/0.9,0)</f>
        <v>0.47777777777777775</v>
      </c>
      <c r="I35" s="100"/>
      <c r="J35" s="102"/>
      <c r="K35" s="102"/>
      <c r="L35" s="2"/>
      <c r="M35" s="3"/>
      <c r="N35" s="3"/>
      <c r="O35" s="90"/>
    </row>
    <row r="36" spans="1:18" ht="18.75" customHeight="1" thickBot="1" x14ac:dyDescent="0.25">
      <c r="A36" s="229" t="str">
        <f>"Итого по разделу = ПЗ + НР+ СП = "&amp;G31&amp;" + "&amp;G34&amp;" + "&amp;G35&amp;" = "</f>
        <v xml:space="preserve">Итого по разделу = ПЗ + НР+ СП = 1161,1 + 743,1 + 499,27 = </v>
      </c>
      <c r="B36" s="229"/>
      <c r="C36" s="229"/>
      <c r="D36" s="229"/>
      <c r="E36" s="229"/>
      <c r="F36" s="230"/>
      <c r="G36" s="109">
        <f>G31+G34+G35</f>
        <v>2403.4699999999998</v>
      </c>
      <c r="H36" s="57"/>
      <c r="I36" s="231"/>
      <c r="J36" s="232"/>
      <c r="K36" s="232"/>
      <c r="L36" s="64"/>
      <c r="M36" s="62"/>
      <c r="N36" s="62"/>
      <c r="O36" s="128"/>
      <c r="R36" s="160">
        <f>G36</f>
        <v>2403.4699999999998</v>
      </c>
    </row>
    <row r="37" spans="1:18" ht="8.25" customHeight="1" x14ac:dyDescent="0.2">
      <c r="A37" s="63"/>
      <c r="B37" s="63"/>
      <c r="C37" s="63"/>
      <c r="D37" s="63"/>
      <c r="E37" s="64"/>
      <c r="F37" s="64"/>
      <c r="G37" s="64"/>
      <c r="H37" s="65"/>
      <c r="I37" s="65"/>
      <c r="J37" s="64"/>
      <c r="K37" s="64"/>
      <c r="L37" s="64"/>
      <c r="M37" s="62"/>
      <c r="N37" s="62"/>
      <c r="O37" s="128"/>
    </row>
    <row r="38" spans="1:18" ht="17.25" customHeight="1" x14ac:dyDescent="0.2">
      <c r="A38" s="233" t="s">
        <v>54</v>
      </c>
      <c r="B38" s="235" t="s">
        <v>46</v>
      </c>
      <c r="C38" s="236"/>
      <c r="D38" s="233" t="s">
        <v>2</v>
      </c>
      <c r="E38" s="239" t="s">
        <v>31</v>
      </c>
      <c r="F38" s="240"/>
      <c r="G38" s="243" t="s">
        <v>3</v>
      </c>
      <c r="H38" s="245" t="s">
        <v>22</v>
      </c>
      <c r="I38" s="246"/>
      <c r="J38" s="247" t="s">
        <v>40</v>
      </c>
      <c r="K38" s="248"/>
      <c r="L38" s="249"/>
    </row>
    <row r="39" spans="1:18" ht="15.75" customHeight="1" x14ac:dyDescent="0.2">
      <c r="A39" s="234"/>
      <c r="B39" s="237"/>
      <c r="C39" s="238"/>
      <c r="D39" s="234"/>
      <c r="E39" s="241"/>
      <c r="F39" s="242"/>
      <c r="G39" s="244"/>
      <c r="H39" s="119" t="s">
        <v>23</v>
      </c>
      <c r="I39" s="119" t="s">
        <v>42</v>
      </c>
      <c r="J39" s="250" t="s">
        <v>53</v>
      </c>
      <c r="K39" s="251"/>
      <c r="L39" s="120" t="s">
        <v>41</v>
      </c>
    </row>
    <row r="40" spans="1:18" x14ac:dyDescent="0.2">
      <c r="A40" s="4">
        <v>1</v>
      </c>
      <c r="B40" s="197">
        <v>2</v>
      </c>
      <c r="C40" s="198"/>
      <c r="D40" s="5">
        <v>3</v>
      </c>
      <c r="E40" s="197">
        <v>4</v>
      </c>
      <c r="F40" s="198"/>
      <c r="G40" s="4">
        <v>5</v>
      </c>
      <c r="H40" s="4">
        <v>6</v>
      </c>
      <c r="I40" s="4">
        <v>7</v>
      </c>
      <c r="J40" s="197">
        <v>8</v>
      </c>
      <c r="K40" s="198"/>
      <c r="L40" s="4">
        <v>9</v>
      </c>
    </row>
    <row r="41" spans="1:18" ht="27" customHeight="1" x14ac:dyDescent="0.2">
      <c r="A41" s="271" t="s">
        <v>77</v>
      </c>
      <c r="B41" s="272"/>
      <c r="C41" s="272"/>
      <c r="D41" s="272"/>
      <c r="E41" s="272"/>
      <c r="F41" s="272"/>
      <c r="G41" s="272"/>
      <c r="H41" s="272"/>
      <c r="I41" s="272"/>
      <c r="J41" s="272"/>
      <c r="K41" s="272"/>
      <c r="L41" s="32"/>
      <c r="M41" s="62"/>
      <c r="N41" s="62"/>
      <c r="O41" s="128"/>
    </row>
    <row r="42" spans="1:18" ht="13.5" x14ac:dyDescent="0.2">
      <c r="A42" s="7">
        <v>1</v>
      </c>
      <c r="B42" s="273" t="s">
        <v>78</v>
      </c>
      <c r="C42" s="274"/>
      <c r="D42" s="118" t="s">
        <v>79</v>
      </c>
      <c r="E42" s="275" t="s">
        <v>6</v>
      </c>
      <c r="F42" s="276"/>
      <c r="G42" s="43">
        <v>1</v>
      </c>
      <c r="H42" s="21">
        <v>676</v>
      </c>
      <c r="I42" s="22">
        <v>3.2448000000000001</v>
      </c>
      <c r="J42" s="277">
        <f>ROUND(G42*H42,2)</f>
        <v>676</v>
      </c>
      <c r="K42" s="278"/>
      <c r="L42" s="49">
        <f>ROUND(G42*I42,2)</f>
        <v>3.24</v>
      </c>
      <c r="M42" s="62"/>
      <c r="N42" s="62"/>
      <c r="O42" s="128"/>
    </row>
    <row r="43" spans="1:18" s="62" customFormat="1" ht="15" customHeight="1" x14ac:dyDescent="0.2">
      <c r="A43" s="279" t="s">
        <v>49</v>
      </c>
      <c r="B43" s="280"/>
      <c r="C43" s="280"/>
      <c r="D43" s="280"/>
      <c r="E43" s="280"/>
      <c r="F43" s="280"/>
      <c r="G43" s="280"/>
      <c r="H43" s="280"/>
      <c r="I43" s="281"/>
      <c r="J43" s="269">
        <f>SUM(J42:J42)</f>
        <v>676</v>
      </c>
      <c r="K43" s="270"/>
      <c r="L43" s="50">
        <f>SUM(L42:L42)</f>
        <v>3.24</v>
      </c>
      <c r="O43" s="128"/>
      <c r="P43"/>
    </row>
    <row r="44" spans="1:18" s="62" customFormat="1" ht="15" hidden="1" customHeight="1" x14ac:dyDescent="0.2">
      <c r="A44" s="282" t="s">
        <v>27</v>
      </c>
      <c r="B44" s="283"/>
      <c r="C44" s="283"/>
      <c r="D44" s="283"/>
      <c r="E44" s="283"/>
      <c r="F44" s="283"/>
      <c r="G44" s="283"/>
      <c r="H44" s="283"/>
      <c r="I44" s="105">
        <v>1</v>
      </c>
      <c r="J44" s="267">
        <f>ROUND(J43*I44,2)</f>
        <v>676</v>
      </c>
      <c r="K44" s="268"/>
      <c r="L44" s="68">
        <f>L43*I44</f>
        <v>3.24</v>
      </c>
      <c r="O44" s="128"/>
      <c r="P44"/>
    </row>
    <row r="45" spans="1:18" s="62" customFormat="1" ht="15" hidden="1" customHeight="1" x14ac:dyDescent="0.2">
      <c r="A45" s="207" t="str">
        <f>"С учетом стесненных условий производства работ на действующем предприятии =  "&amp;J44&amp;"  х "</f>
        <v xml:space="preserve">С учетом стесненных условий производства работ на действующем предприятии =  676  х </v>
      </c>
      <c r="B45" s="208"/>
      <c r="C45" s="208"/>
      <c r="D45" s="208"/>
      <c r="E45" s="208"/>
      <c r="F45" s="208"/>
      <c r="G45" s="208"/>
      <c r="H45" s="208"/>
      <c r="I45" s="45">
        <v>1</v>
      </c>
      <c r="J45" s="269">
        <f>ROUND(J44*I45,2)</f>
        <v>676</v>
      </c>
      <c r="K45" s="270"/>
      <c r="L45" s="50">
        <f>L44*I45</f>
        <v>3.24</v>
      </c>
      <c r="O45" s="128"/>
      <c r="P45"/>
    </row>
    <row r="46" spans="1:18" s="62" customFormat="1" ht="15" hidden="1" customHeight="1" x14ac:dyDescent="0.2">
      <c r="A46" s="207" t="str">
        <f>"С учетом особых условий производства = "&amp;J45&amp;"  х "</f>
        <v xml:space="preserve">С учетом особых условий производства = 676  х </v>
      </c>
      <c r="B46" s="208"/>
      <c r="C46" s="208"/>
      <c r="D46" s="208"/>
      <c r="E46" s="208"/>
      <c r="F46" s="208"/>
      <c r="G46" s="208"/>
      <c r="H46" s="208"/>
      <c r="I46" s="45">
        <v>1</v>
      </c>
      <c r="J46" s="269">
        <f>ROUND(J45*I46,2)</f>
        <v>676</v>
      </c>
      <c r="K46" s="270"/>
      <c r="L46" s="50">
        <f>L45*I46</f>
        <v>3.24</v>
      </c>
      <c r="O46" s="128"/>
      <c r="P46"/>
    </row>
    <row r="47" spans="1:18" s="62" customFormat="1" ht="15" hidden="1" customHeight="1" x14ac:dyDescent="0.2">
      <c r="A47" s="106">
        <f>1+I47</f>
        <v>1</v>
      </c>
      <c r="B47" s="208" t="str">
        <f>"С учетом зимних условий работ = "&amp;J46&amp;"  + "</f>
        <v xml:space="preserve">С учетом зимних условий работ = 676  + </v>
      </c>
      <c r="C47" s="208"/>
      <c r="D47" s="208"/>
      <c r="E47" s="208"/>
      <c r="F47" s="208"/>
      <c r="G47" s="208"/>
      <c r="H47" s="208"/>
      <c r="I47" s="132">
        <v>0</v>
      </c>
      <c r="J47" s="269">
        <f>ROUND(J46*A47,2)</f>
        <v>676</v>
      </c>
      <c r="K47" s="270"/>
      <c r="L47" s="54">
        <f>ROUND(L46*A47,2)</f>
        <v>3.24</v>
      </c>
      <c r="O47" s="128"/>
      <c r="P47"/>
    </row>
    <row r="48" spans="1:18" s="62" customFormat="1" ht="15" customHeight="1" x14ac:dyDescent="0.2">
      <c r="A48" s="207" t="str">
        <f>"Фонд оплаты труда (ФОТ) в текущих ценах с учетом коэф.инфляции на "&amp;L48&amp;" = "&amp;J47&amp;"  х "</f>
        <v xml:space="preserve">Фонд оплаты труда (ФОТ) в текущих ценах с учетом коэф.инфляции на 1кв. 2026г. = 676  х </v>
      </c>
      <c r="B48" s="208"/>
      <c r="C48" s="208"/>
      <c r="D48" s="208"/>
      <c r="E48" s="208"/>
      <c r="F48" s="208"/>
      <c r="G48" s="208"/>
      <c r="H48" s="208"/>
      <c r="I48" s="134">
        <v>5</v>
      </c>
      <c r="J48" s="267">
        <f>ROUND(J47*I48,2)</f>
        <v>3380</v>
      </c>
      <c r="K48" s="268"/>
      <c r="L48" s="107" t="str">
        <f>TRUNC((RIGHT(LEFT("01.01.2026",5),2)-1)/3,0)+1&amp;"кв. "&amp;RIGHT("01.01.2026",4)&amp;"г."</f>
        <v>1кв. 2026г.</v>
      </c>
      <c r="O48" s="128"/>
      <c r="P48"/>
    </row>
    <row r="49" spans="1:17" s="62" customFormat="1" ht="15" customHeight="1" x14ac:dyDescent="0.2">
      <c r="A49" s="207" t="str">
        <f>"Накладные расходы (НР) на ФОТ =  "&amp;J48&amp;" х"</f>
        <v>Накладные расходы (НР) на ФОТ =  3380 х</v>
      </c>
      <c r="B49" s="208"/>
      <c r="C49" s="208"/>
      <c r="D49" s="208"/>
      <c r="E49" s="208"/>
      <c r="F49" s="208"/>
      <c r="G49" s="208"/>
      <c r="H49" s="208"/>
      <c r="I49" s="132">
        <v>0.64</v>
      </c>
      <c r="J49" s="269">
        <f>ROUND(J48*I49,2)</f>
        <v>2163.1999999999998</v>
      </c>
      <c r="K49" s="270"/>
      <c r="L49" s="141">
        <f>IF(M49=0,I49/0.7,I49/0.94)</f>
        <v>0.91428571428571437</v>
      </c>
      <c r="M49" s="175">
        <v>0</v>
      </c>
      <c r="N49" s="3"/>
      <c r="O49" s="90"/>
      <c r="P49"/>
    </row>
    <row r="50" spans="1:17" s="62" customFormat="1" ht="15" customHeight="1" thickBot="1" x14ac:dyDescent="0.25">
      <c r="A50" s="207" t="str">
        <f>"Сметная прибыль (СП) на ФОТ =  "&amp;J48&amp;" х"</f>
        <v>Сметная прибыль (СП) на ФОТ =  3380 х</v>
      </c>
      <c r="B50" s="208"/>
      <c r="C50" s="208"/>
      <c r="D50" s="208"/>
      <c r="E50" s="208"/>
      <c r="F50" s="208"/>
      <c r="G50" s="208"/>
      <c r="H50" s="208"/>
      <c r="I50" s="133">
        <v>0.43</v>
      </c>
      <c r="J50" s="209">
        <f>ROUND(J48*I50,2)</f>
        <v>1453.4</v>
      </c>
      <c r="K50" s="210"/>
      <c r="L50" s="142">
        <f>IF(M49=0%,I50/0.9,0)</f>
        <v>0.47777777777777775</v>
      </c>
      <c r="M50" s="3"/>
      <c r="N50" s="3"/>
      <c r="O50" s="90"/>
      <c r="P50"/>
    </row>
    <row r="51" spans="1:17" s="62" customFormat="1" ht="19.5" customHeight="1" thickTop="1" thickBot="1" x14ac:dyDescent="0.25">
      <c r="A51" s="211" t="str">
        <f>"Итого по разделу = ФОТ+ НР + СП = "&amp;J48&amp;" + "&amp;J49&amp;" + "&amp;J50&amp;" = "</f>
        <v xml:space="preserve">Итого по разделу = ФОТ+ НР + СП = 3380 + 2163,2 + 1453,4 = </v>
      </c>
      <c r="B51" s="211"/>
      <c r="C51" s="211"/>
      <c r="D51" s="211"/>
      <c r="E51" s="211"/>
      <c r="F51" s="211"/>
      <c r="G51" s="211"/>
      <c r="H51" s="211"/>
      <c r="I51" s="212"/>
      <c r="J51" s="213">
        <f>J48+J49+J50</f>
        <v>6996.6</v>
      </c>
      <c r="K51" s="214"/>
      <c r="L51" s="101"/>
      <c r="O51" s="128"/>
      <c r="P51" s="146">
        <f>J51</f>
        <v>6996.6</v>
      </c>
    </row>
    <row r="52" spans="1:17" ht="11.25" customHeight="1" thickBot="1" x14ac:dyDescent="0.25">
      <c r="A52" s="26"/>
      <c r="B52" s="26"/>
      <c r="C52" s="26"/>
      <c r="D52" s="24"/>
      <c r="E52" s="25"/>
      <c r="F52" s="25"/>
      <c r="G52" s="25"/>
      <c r="H52" s="25"/>
      <c r="I52" s="25"/>
      <c r="J52" s="25"/>
      <c r="K52" s="25"/>
      <c r="L52" s="27"/>
      <c r="M52" s="62"/>
      <c r="N52" s="62"/>
      <c r="O52" s="128"/>
    </row>
    <row r="53" spans="1:17" ht="18.75" customHeight="1" thickTop="1" thickBot="1" x14ac:dyDescent="0.25">
      <c r="A53" s="215"/>
      <c r="B53" s="215"/>
      <c r="C53" s="215"/>
      <c r="D53" s="23" t="s">
        <v>24</v>
      </c>
      <c r="E53" s="216" t="s">
        <v>40</v>
      </c>
      <c r="F53" s="217"/>
      <c r="G53" s="18" t="s">
        <v>21</v>
      </c>
      <c r="H53" s="16" t="s">
        <v>19</v>
      </c>
      <c r="I53" s="12" t="s">
        <v>20</v>
      </c>
      <c r="J53" s="55" t="s">
        <v>1</v>
      </c>
      <c r="K53" s="69" t="s">
        <v>28</v>
      </c>
      <c r="L53" s="70" t="s">
        <v>30</v>
      </c>
      <c r="M53" s="62"/>
      <c r="N53" s="62"/>
      <c r="O53" s="128"/>
    </row>
    <row r="54" spans="1:17" ht="21.75" customHeight="1" thickTop="1" x14ac:dyDescent="0.2">
      <c r="A54" s="10"/>
      <c r="B54" s="6"/>
      <c r="C54" s="6"/>
      <c r="D54" s="17"/>
      <c r="E54" s="218">
        <f>ROUND(G36+J51+0,2)</f>
        <v>9400.07</v>
      </c>
      <c r="F54" s="219"/>
      <c r="G54" s="36">
        <f>G33+J48</f>
        <v>4541.1000000000004</v>
      </c>
      <c r="H54" s="37">
        <f>G34+J49</f>
        <v>2906.2999999999997</v>
      </c>
      <c r="I54" s="37">
        <f>G35+J50</f>
        <v>1952.67</v>
      </c>
      <c r="J54" s="37">
        <f>I31</f>
        <v>0</v>
      </c>
      <c r="K54" s="37">
        <f>K31</f>
        <v>0</v>
      </c>
      <c r="L54" s="28">
        <f>L31+L47</f>
        <v>6.54</v>
      </c>
      <c r="M54" s="62"/>
      <c r="N54" s="62"/>
      <c r="O54" s="128"/>
      <c r="Q54" s="146"/>
    </row>
    <row r="55" spans="1:17" ht="8.25" customHeight="1" x14ac:dyDescent="0.2">
      <c r="A55" s="10"/>
      <c r="B55" s="6"/>
      <c r="C55" s="6"/>
      <c r="D55" s="11"/>
      <c r="E55" s="38"/>
      <c r="F55" s="38"/>
      <c r="G55" s="38"/>
      <c r="H55" s="38"/>
      <c r="I55" s="38"/>
      <c r="J55" s="38"/>
      <c r="K55" s="38"/>
      <c r="L55" s="34"/>
      <c r="M55" s="62"/>
      <c r="N55" s="62"/>
      <c r="O55" s="128"/>
    </row>
    <row r="56" spans="1:17" ht="31.5" customHeight="1" x14ac:dyDescent="0.2">
      <c r="A56" s="220" t="s">
        <v>43</v>
      </c>
      <c r="B56" s="220"/>
      <c r="C56" s="220"/>
      <c r="D56" s="220"/>
      <c r="E56" s="220"/>
      <c r="F56" s="220"/>
      <c r="G56" s="220"/>
      <c r="H56" s="220"/>
      <c r="I56" s="220"/>
      <c r="J56" s="220"/>
      <c r="K56" s="220"/>
      <c r="L56" s="35"/>
      <c r="M56" s="62"/>
      <c r="N56" s="62"/>
      <c r="O56" s="128"/>
    </row>
    <row r="57" spans="1:17" ht="24.75" customHeight="1" x14ac:dyDescent="0.2">
      <c r="A57" s="39" t="s">
        <v>4</v>
      </c>
      <c r="B57" s="221" t="s">
        <v>52</v>
      </c>
      <c r="C57" s="222"/>
      <c r="D57" s="222"/>
      <c r="E57" s="222"/>
      <c r="F57" s="222"/>
      <c r="G57" s="223"/>
      <c r="H57" s="40" t="s">
        <v>5</v>
      </c>
      <c r="I57" s="41" t="s">
        <v>3</v>
      </c>
      <c r="J57" s="42" t="s">
        <v>11</v>
      </c>
      <c r="K57" s="224" t="s">
        <v>17</v>
      </c>
      <c r="L57" s="225"/>
      <c r="M57" s="62"/>
      <c r="N57" s="62"/>
      <c r="O57" s="128"/>
    </row>
    <row r="58" spans="1:17" s="62" customFormat="1" ht="14.25" customHeight="1" x14ac:dyDescent="0.2">
      <c r="A58" s="137">
        <v>1</v>
      </c>
      <c r="B58" s="199" t="s">
        <v>80</v>
      </c>
      <c r="C58" s="200"/>
      <c r="D58" s="200"/>
      <c r="E58" s="200"/>
      <c r="F58" s="200"/>
      <c r="G58" s="201"/>
      <c r="H58" s="138" t="s">
        <v>6</v>
      </c>
      <c r="I58" s="139">
        <v>1</v>
      </c>
      <c r="J58" s="140">
        <v>29999.93</v>
      </c>
      <c r="K58" s="202">
        <f>ROUND(I58*J58,2)</f>
        <v>29999.93</v>
      </c>
      <c r="L58" s="202"/>
      <c r="O58" s="128"/>
      <c r="P58"/>
    </row>
    <row r="59" spans="1:17" s="62" customFormat="1" x14ac:dyDescent="0.2">
      <c r="A59" s="82"/>
      <c r="B59" s="83" t="s">
        <v>8</v>
      </c>
      <c r="C59" s="83"/>
      <c r="D59" s="84"/>
      <c r="E59" s="85"/>
      <c r="F59" s="86"/>
      <c r="G59" s="87"/>
      <c r="H59" s="87"/>
      <c r="I59" s="85"/>
      <c r="J59" s="88" t="s">
        <v>18</v>
      </c>
      <c r="K59" s="203">
        <f>SUM(K58:K58)</f>
        <v>29999.93</v>
      </c>
      <c r="L59" s="203"/>
      <c r="O59" s="128"/>
      <c r="P59"/>
      <c r="Q59" s="164">
        <f>K59</f>
        <v>29999.93</v>
      </c>
    </row>
    <row r="60" spans="1:17" s="62" customFormat="1" x14ac:dyDescent="0.2">
      <c r="A60" s="75" t="s">
        <v>9</v>
      </c>
      <c r="B60" s="76" t="s">
        <v>10</v>
      </c>
      <c r="C60" s="76"/>
      <c r="D60" s="77"/>
      <c r="E60" s="78"/>
      <c r="F60" s="79"/>
      <c r="G60" s="80"/>
      <c r="H60" s="80"/>
      <c r="I60" s="78"/>
      <c r="J60" s="78"/>
      <c r="K60" s="51"/>
      <c r="L60" s="81"/>
      <c r="O60" s="128"/>
      <c r="P60"/>
    </row>
    <row r="61" spans="1:17" ht="22.5" customHeight="1" thickBot="1" x14ac:dyDescent="0.25">
      <c r="A61" s="96"/>
      <c r="B61" s="97"/>
      <c r="C61" s="97"/>
      <c r="D61" s="204" t="s">
        <v>16</v>
      </c>
      <c r="E61" s="205"/>
      <c r="F61" s="177" t="s">
        <v>15</v>
      </c>
      <c r="G61" s="178"/>
      <c r="H61" s="94"/>
      <c r="I61" s="92"/>
      <c r="J61" s="92"/>
      <c r="K61" s="206"/>
      <c r="L61" s="206"/>
      <c r="M61" s="62"/>
      <c r="N61" s="62"/>
      <c r="O61" s="128"/>
    </row>
    <row r="62" spans="1:17" s="62" customFormat="1" ht="15.95" customHeight="1" thickTop="1" x14ac:dyDescent="0.2">
      <c r="A62" s="183"/>
      <c r="B62" s="183"/>
      <c r="C62" s="93"/>
      <c r="D62" s="73"/>
      <c r="E62" s="111" t="s">
        <v>44</v>
      </c>
      <c r="F62" s="184">
        <f>ROUND(G36+J51+0,2)</f>
        <v>9400.07</v>
      </c>
      <c r="G62" s="185"/>
      <c r="H62" s="59">
        <v>0</v>
      </c>
      <c r="I62" s="186">
        <f>F62*H62</f>
        <v>0</v>
      </c>
      <c r="J62" s="186"/>
      <c r="K62" s="187">
        <f>F62+I62</f>
        <v>9400.07</v>
      </c>
      <c r="L62" s="187"/>
      <c r="O62" s="128"/>
      <c r="P62"/>
    </row>
    <row r="63" spans="1:17" s="62" customFormat="1" ht="15.95" customHeight="1" x14ac:dyDescent="0.2">
      <c r="A63" s="71"/>
      <c r="B63" s="71"/>
      <c r="C63" s="72"/>
      <c r="D63" s="73"/>
      <c r="E63" s="112" t="s">
        <v>50</v>
      </c>
      <c r="F63" s="188">
        <f>ROUND(K59,2)</f>
        <v>29999.93</v>
      </c>
      <c r="G63" s="189"/>
      <c r="H63" s="60">
        <v>0</v>
      </c>
      <c r="I63" s="187">
        <f>F63*H63</f>
        <v>0</v>
      </c>
      <c r="J63" s="187"/>
      <c r="K63" s="190">
        <f>F63+I63</f>
        <v>29999.93</v>
      </c>
      <c r="L63" s="190"/>
      <c r="O63" s="128"/>
      <c r="P63"/>
    </row>
    <row r="64" spans="1:17" s="62" customFormat="1" ht="15.95" customHeight="1" x14ac:dyDescent="0.2">
      <c r="A64" s="145"/>
      <c r="B64" s="71"/>
      <c r="C64" s="72"/>
      <c r="D64" s="74" t="str">
        <f>IF(E64=0,"Заготовительно-складские расходы = ","Заготовительно-складские расходы = "&amp;FIXED(F63,2)&amp;" х")</f>
        <v>Заготовительно-складские расходы = 29 999,93 х</v>
      </c>
      <c r="E64" s="136">
        <v>0.01</v>
      </c>
      <c r="F64" s="191">
        <f>ROUND(F63*E64,2)</f>
        <v>300</v>
      </c>
      <c r="G64" s="192"/>
      <c r="H64" s="61"/>
      <c r="I64" s="193"/>
      <c r="J64" s="193"/>
      <c r="K64" s="194"/>
      <c r="L64" s="194"/>
      <c r="O64" s="128"/>
      <c r="P64"/>
    </row>
    <row r="65" spans="1:16" s="62" customFormat="1" ht="15.95" customHeight="1" x14ac:dyDescent="0.2">
      <c r="A65" s="73"/>
      <c r="B65" s="73"/>
      <c r="C65" s="73"/>
      <c r="D65" s="74" t="str">
        <f>IF(E65=0,"Транспортные расходы = ","Транспортные расходы = "&amp;FIXED(F63,2)&amp;" х")</f>
        <v>Транспортные расходы = 29 999,93 х</v>
      </c>
      <c r="E65" s="136">
        <v>0.01</v>
      </c>
      <c r="F65" s="195">
        <f>ROUND(F63*E65,2)</f>
        <v>300</v>
      </c>
      <c r="G65" s="196"/>
      <c r="H65" s="56" t="s">
        <v>13</v>
      </c>
      <c r="I65" s="177" t="s">
        <v>14</v>
      </c>
      <c r="J65" s="178"/>
      <c r="K65" s="177" t="s">
        <v>26</v>
      </c>
      <c r="L65" s="178"/>
      <c r="O65" s="128"/>
      <c r="P65"/>
    </row>
    <row r="66" spans="1:16" s="62" customFormat="1" ht="18.75" customHeight="1" x14ac:dyDescent="0.2">
      <c r="A66" s="19"/>
      <c r="B66" s="19"/>
      <c r="C66" s="19"/>
      <c r="D66" s="10"/>
      <c r="E66" s="113" t="s">
        <v>45</v>
      </c>
      <c r="F66" s="179">
        <f>SUM(F62:F65)</f>
        <v>40000</v>
      </c>
      <c r="G66" s="180"/>
      <c r="H66" s="58">
        <f>H63</f>
        <v>0</v>
      </c>
      <c r="I66" s="179">
        <f>ROUND(F66*H66,2)</f>
        <v>0</v>
      </c>
      <c r="J66" s="180"/>
      <c r="K66" s="179">
        <f>F66+I66</f>
        <v>40000</v>
      </c>
      <c r="L66" s="180"/>
      <c r="O66" s="128"/>
      <c r="P66"/>
    </row>
    <row r="67" spans="1:16" ht="66.75" customHeight="1" x14ac:dyDescent="0.2">
      <c r="A67" s="181" t="s">
        <v>7</v>
      </c>
      <c r="B67" s="181"/>
      <c r="C67" s="181"/>
      <c r="D67" s="182" t="s">
        <v>88</v>
      </c>
      <c r="E67" s="182"/>
      <c r="F67" s="182"/>
      <c r="G67" s="182"/>
      <c r="H67" s="182"/>
      <c r="I67" s="182"/>
      <c r="J67" s="182"/>
      <c r="K67" s="182"/>
      <c r="L67" s="182"/>
      <c r="M67" s="62"/>
      <c r="N67" s="62"/>
      <c r="O67" s="128"/>
    </row>
    <row r="68" spans="1:16" x14ac:dyDescent="0.2">
      <c r="A68" s="13"/>
      <c r="B68" s="13"/>
      <c r="C68" s="13"/>
      <c r="D68" s="176" t="s">
        <v>29</v>
      </c>
      <c r="E68" s="176"/>
      <c r="F68" s="176"/>
      <c r="G68" s="176"/>
      <c r="H68" s="14"/>
      <c r="I68" s="14"/>
      <c r="J68" s="14"/>
      <c r="K68" s="14"/>
      <c r="L68" s="14"/>
      <c r="M68" s="62"/>
      <c r="N68" s="62"/>
      <c r="O68" s="128"/>
    </row>
    <row r="69" spans="1:16" ht="65.25" customHeight="1" x14ac:dyDescent="0.2">
      <c r="A69" s="181" t="s">
        <v>12</v>
      </c>
      <c r="B69" s="181"/>
      <c r="C69" s="181"/>
      <c r="D69" s="182"/>
      <c r="E69" s="182"/>
      <c r="F69" s="182"/>
      <c r="G69" s="182"/>
      <c r="H69" s="182"/>
      <c r="I69" s="182"/>
      <c r="J69" s="182"/>
      <c r="K69" s="182"/>
      <c r="L69" s="182"/>
      <c r="M69" s="62"/>
      <c r="N69" s="62"/>
      <c r="O69" s="128"/>
    </row>
    <row r="70" spans="1:16" x14ac:dyDescent="0.2">
      <c r="A70" s="15"/>
      <c r="B70" s="15"/>
      <c r="C70" s="15"/>
      <c r="D70" s="176" t="s">
        <v>29</v>
      </c>
      <c r="E70" s="176"/>
      <c r="F70" s="176"/>
      <c r="G70" s="176"/>
      <c r="H70" s="14"/>
      <c r="I70" s="14"/>
      <c r="J70" s="14"/>
      <c r="K70" s="14"/>
      <c r="L70" s="14"/>
      <c r="M70" s="62"/>
      <c r="N70" s="62"/>
      <c r="O70" s="128"/>
    </row>
    <row r="71" spans="1:16" ht="15" customHeight="1" x14ac:dyDescent="0.2"/>
    <row r="72" spans="1:16" ht="15" customHeight="1" x14ac:dyDescent="0.2"/>
    <row r="73" spans="1:16" ht="15" customHeight="1" x14ac:dyDescent="0.2"/>
    <row r="74" spans="1:16" ht="15" customHeight="1" x14ac:dyDescent="0.2"/>
    <row r="75" spans="1:16" ht="15" customHeight="1" x14ac:dyDescent="0.2"/>
    <row r="76" spans="1:16" ht="15" customHeight="1" x14ac:dyDescent="0.2"/>
    <row r="77" spans="1:16" ht="15" customHeight="1" x14ac:dyDescent="0.2"/>
    <row r="78" spans="1:16" ht="19.5" customHeight="1" x14ac:dyDescent="0.2"/>
    <row r="79" spans="1:16" ht="11.25" customHeight="1" x14ac:dyDescent="0.2"/>
    <row r="80" spans="1:16" ht="12.75" customHeight="1" x14ac:dyDescent="0.2"/>
    <row r="81" ht="18.75" customHeight="1" x14ac:dyDescent="0.2"/>
    <row r="82" ht="21.75" customHeight="1" x14ac:dyDescent="0.2"/>
    <row r="83" ht="8.25" customHeight="1" x14ac:dyDescent="0.2"/>
    <row r="84" ht="12.75" customHeight="1" x14ac:dyDescent="0.2"/>
    <row r="85" ht="31.5" customHeight="1" x14ac:dyDescent="0.2"/>
    <row r="86" ht="24.75" customHeight="1" x14ac:dyDescent="0.2"/>
    <row r="87" ht="14.25" customHeight="1" x14ac:dyDescent="0.2"/>
    <row r="92" ht="15.75" customHeight="1" x14ac:dyDescent="0.2"/>
    <row r="93" ht="22.5" customHeight="1" x14ac:dyDescent="0.2"/>
    <row r="94" ht="15.95" customHeight="1" x14ac:dyDescent="0.2"/>
    <row r="95" ht="15.95" customHeight="1" x14ac:dyDescent="0.2"/>
    <row r="96" ht="15.95" customHeight="1" x14ac:dyDescent="0.2"/>
    <row r="97" ht="15.95" customHeight="1" x14ac:dyDescent="0.2"/>
    <row r="98" ht="21.95" customHeight="1" x14ac:dyDescent="0.2"/>
    <row r="99" ht="15.75" customHeight="1" x14ac:dyDescent="0.2"/>
    <row r="100" ht="22.5" customHeight="1" x14ac:dyDescent="0.2"/>
    <row r="101" ht="15.95" customHeight="1" x14ac:dyDescent="0.2"/>
    <row r="102" ht="15.95" customHeight="1" x14ac:dyDescent="0.2"/>
    <row r="103" ht="15.95" customHeight="1" x14ac:dyDescent="0.2"/>
    <row r="104" ht="15.95" customHeight="1" x14ac:dyDescent="0.2"/>
    <row r="105" ht="18.75" customHeight="1" x14ac:dyDescent="0.2"/>
    <row r="106" ht="18" customHeight="1" x14ac:dyDescent="0.2"/>
    <row r="107" ht="18" customHeight="1" x14ac:dyDescent="0.2"/>
    <row r="108" ht="21.95" customHeight="1" x14ac:dyDescent="0.2"/>
    <row r="109" ht="21.95" customHeight="1" x14ac:dyDescent="0.2"/>
    <row r="111" ht="66.75" customHeight="1" x14ac:dyDescent="0.2"/>
    <row r="113" ht="65.25" customHeight="1" x14ac:dyDescent="0.2"/>
  </sheetData>
  <mergeCells count="108">
    <mergeCell ref="B30:E30"/>
    <mergeCell ref="A31:F31"/>
    <mergeCell ref="A32:D32"/>
    <mergeCell ref="E32:F32"/>
    <mergeCell ref="A26:F26"/>
    <mergeCell ref="A27:E27"/>
    <mergeCell ref="A28:E28"/>
    <mergeCell ref="A29:E29"/>
    <mergeCell ref="A15:C15"/>
    <mergeCell ref="A16:C16"/>
    <mergeCell ref="A17:C17"/>
    <mergeCell ref="A18:C18"/>
    <mergeCell ref="E20:F20"/>
    <mergeCell ref="E21:F21"/>
    <mergeCell ref="B22:C22"/>
    <mergeCell ref="E22:F22"/>
    <mergeCell ref="A23:K23"/>
    <mergeCell ref="B24:C24"/>
    <mergeCell ref="E24:F24"/>
    <mergeCell ref="E25:F25"/>
    <mergeCell ref="J46:K46"/>
    <mergeCell ref="B47:H47"/>
    <mergeCell ref="J47:K47"/>
    <mergeCell ref="A41:K41"/>
    <mergeCell ref="B42:C42"/>
    <mergeCell ref="E42:F42"/>
    <mergeCell ref="J42:K42"/>
    <mergeCell ref="A43:I43"/>
    <mergeCell ref="J43:K43"/>
    <mergeCell ref="A44:H44"/>
    <mergeCell ref="J44:K44"/>
    <mergeCell ref="A45:H45"/>
    <mergeCell ref="J45:K45"/>
    <mergeCell ref="H1:M1"/>
    <mergeCell ref="A2:N2"/>
    <mergeCell ref="A11:B11"/>
    <mergeCell ref="C11:F11"/>
    <mergeCell ref="A14:C14"/>
    <mergeCell ref="B20:C20"/>
    <mergeCell ref="G20:K20"/>
    <mergeCell ref="L20:L21"/>
    <mergeCell ref="A8:N8"/>
    <mergeCell ref="A9:N9"/>
    <mergeCell ref="C12:F12"/>
    <mergeCell ref="A3:N3"/>
    <mergeCell ref="A4:N4"/>
    <mergeCell ref="A5:N5"/>
    <mergeCell ref="A6:N6"/>
    <mergeCell ref="A7:N7"/>
    <mergeCell ref="A33:F33"/>
    <mergeCell ref="A34:E34"/>
    <mergeCell ref="A35:E35"/>
    <mergeCell ref="A36:F36"/>
    <mergeCell ref="I36:K36"/>
    <mergeCell ref="A38:A39"/>
    <mergeCell ref="B38:C39"/>
    <mergeCell ref="D38:D39"/>
    <mergeCell ref="E38:F39"/>
    <mergeCell ref="G38:G39"/>
    <mergeCell ref="H38:I38"/>
    <mergeCell ref="J38:L38"/>
    <mergeCell ref="J39:K39"/>
    <mergeCell ref="B40:C40"/>
    <mergeCell ref="E40:F40"/>
    <mergeCell ref="J40:K40"/>
    <mergeCell ref="B58:G58"/>
    <mergeCell ref="K58:L58"/>
    <mergeCell ref="K59:L59"/>
    <mergeCell ref="D61:E61"/>
    <mergeCell ref="F61:G61"/>
    <mergeCell ref="K61:L61"/>
    <mergeCell ref="A50:H50"/>
    <mergeCell ref="J50:K50"/>
    <mergeCell ref="A51:I51"/>
    <mergeCell ref="J51:K51"/>
    <mergeCell ref="A53:C53"/>
    <mergeCell ref="E53:F53"/>
    <mergeCell ref="E54:F54"/>
    <mergeCell ref="A56:K56"/>
    <mergeCell ref="B57:G57"/>
    <mergeCell ref="K57:L57"/>
    <mergeCell ref="A48:H48"/>
    <mergeCell ref="J48:K48"/>
    <mergeCell ref="A49:H49"/>
    <mergeCell ref="J49:K49"/>
    <mergeCell ref="A46:H46"/>
    <mergeCell ref="D70:G70"/>
    <mergeCell ref="I65:J65"/>
    <mergeCell ref="K65:L65"/>
    <mergeCell ref="F66:G66"/>
    <mergeCell ref="I66:J66"/>
    <mergeCell ref="K66:L66"/>
    <mergeCell ref="A67:C67"/>
    <mergeCell ref="D67:L67"/>
    <mergeCell ref="A62:B62"/>
    <mergeCell ref="F62:G62"/>
    <mergeCell ref="I62:J62"/>
    <mergeCell ref="K62:L62"/>
    <mergeCell ref="F63:G63"/>
    <mergeCell ref="I63:J63"/>
    <mergeCell ref="K63:L63"/>
    <mergeCell ref="D68:G68"/>
    <mergeCell ref="A69:C69"/>
    <mergeCell ref="D69:L69"/>
    <mergeCell ref="F64:G64"/>
    <mergeCell ref="I64:J64"/>
    <mergeCell ref="K64:L64"/>
    <mergeCell ref="F65:G65"/>
  </mergeCells>
  <conditionalFormatting sqref="F13:F14">
    <cfRule type="expression" dxfId="5" priority="3" stopIfTrue="1">
      <formula>$K$12=0</formula>
    </cfRule>
  </conditionalFormatting>
  <conditionalFormatting sqref="J28:J30">
    <cfRule type="cellIs" dxfId="4" priority="1" stopIfTrue="1" operator="equal">
      <formula>0</formula>
    </cfRule>
  </conditionalFormatting>
  <conditionalFormatting sqref="J24:K24 B25:C25">
    <cfRule type="cellIs" dxfId="3" priority="2" stopIfTrue="1" operator="equal">
      <formula>0</formula>
    </cfRule>
  </conditionalFormatting>
  <conditionalFormatting sqref="K13">
    <cfRule type="expression" dxfId="2" priority="9" stopIfTrue="1">
      <formula>$K$14=0</formula>
    </cfRule>
  </conditionalFormatting>
  <conditionalFormatting sqref="K14:L14">
    <cfRule type="expression" dxfId="1" priority="5" stopIfTrue="1">
      <formula>$K$12=0</formula>
    </cfRule>
  </conditionalFormatting>
  <conditionalFormatting sqref="L13">
    <cfRule type="expression" dxfId="0" priority="6">
      <formula>$K$13=0</formula>
    </cfRule>
  </conditionalFormatting>
  <dataValidations count="1">
    <dataValidation type="list" allowBlank="1" showInputMessage="1" showErrorMessage="1" sqref="F28" xr:uid="{00000000-0002-0000-0100-000000000000}">
      <mc:AlternateContent xmlns:x12ac="http://schemas.microsoft.com/office/spreadsheetml/2011/1/ac" xmlns:mc="http://schemas.openxmlformats.org/markup-compatibility/2006">
        <mc:Choice Requires="x12ac">
          <x12ac:list>"1,1","1,15","1,2",</x12ac:list>
        </mc:Choice>
        <mc:Fallback>
          <formula1>"1,1,1,15,1,2,"</formula1>
        </mc:Fallback>
      </mc:AlternateContent>
    </dataValidation>
  </dataValidations>
  <pageMargins left="0.75" right="0.25" top="1" bottom="1" header="0.5" footer="0.5"/>
  <pageSetup paperSize="9" scale="94" fitToHeight="100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Смета</vt:lpstr>
    </vt:vector>
  </TitlesOfParts>
  <Company>ООО "Орбита-Союз"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2009-10-13T21:28:33Z</cp:lastPrinted>
  <dcterms:created xsi:type="dcterms:W3CDTF">2004-04-18T13:15:50Z</dcterms:created>
  <dcterms:modified xsi:type="dcterms:W3CDTF">2026-02-25T11:49:50Z</dcterms:modified>
</cp:coreProperties>
</file>